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50" windowWidth="15480" windowHeight="8415" tabRatio="882" activeTab="14"/>
  </bookViews>
  <sheets>
    <sheet name="listopad 2011" sheetId="1" r:id="rId1"/>
    <sheet name="studeni 2011" sheetId="2" r:id="rId2"/>
    <sheet name="prosinac 2011" sheetId="3" r:id="rId3"/>
    <sheet name="siječanj 2012" sheetId="4" r:id="rId4"/>
    <sheet name="veljača 2012" sheetId="5" r:id="rId5"/>
    <sheet name="ožujak 2012" sheetId="6" r:id="rId6"/>
    <sheet name="travanj 2012" sheetId="7" r:id="rId7"/>
    <sheet name="svibanj 2012" sheetId="8" r:id="rId8"/>
    <sheet name="lipanj 2012" sheetId="9" r:id="rId9"/>
    <sheet name="srpanj 2012" sheetId="10" r:id="rId10"/>
    <sheet name="kolovoz 2012 " sheetId="11" r:id="rId11"/>
    <sheet name="Priprema za plaću" sheetId="12" r:id="rId12"/>
    <sheet name="3 četvrtine" sheetId="13" r:id="rId13"/>
    <sheet name="COP 3 četvrtine" sheetId="14" r:id="rId14"/>
    <sheet name="Lipanj '14." sheetId="15" r:id="rId15"/>
    <sheet name="Kolovoz '14." sheetId="16" r:id="rId16"/>
    <sheet name="RAZLIKA rad u posebnim uvjetima" sheetId="17" r:id="rId17"/>
  </sheets>
  <definedNames/>
  <calcPr fullCalcOnLoad="1"/>
</workbook>
</file>

<file path=xl/sharedStrings.xml><?xml version="1.0" encoding="utf-8"?>
<sst xmlns="http://schemas.openxmlformats.org/spreadsheetml/2006/main" count="5689" uniqueCount="585">
  <si>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</si>
  <si>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</si>
  <si>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</si>
  <si>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</si>
  <si>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</si>
  <si>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</si>
  <si>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</si>
  <si>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</si>
  <si>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</si>
  <si>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</si>
  <si>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</si>
  <si>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</si>
  <si>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</si>
  <si>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</si>
  <si>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</si>
  <si>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</si>
  <si>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</si>
  <si>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Ime i prezime</t>
  </si>
  <si>
    <t>Rad po prilag. prog.</t>
  </si>
  <si>
    <t>Prekovrem. rad</t>
  </si>
  <si>
    <t>Zamjene</t>
  </si>
  <si>
    <t>Š=06</t>
  </si>
  <si>
    <t>Smjenski rad</t>
  </si>
  <si>
    <t>Š=09</t>
  </si>
  <si>
    <t>Š=04</t>
  </si>
  <si>
    <t>Kombinacije</t>
  </si>
  <si>
    <t>Š=16</t>
  </si>
  <si>
    <t>Prijevoz</t>
  </si>
  <si>
    <t>Š=24</t>
  </si>
  <si>
    <t>Marija Babić</t>
  </si>
  <si>
    <t>10.</t>
  </si>
  <si>
    <t>003</t>
  </si>
  <si>
    <t>020</t>
  </si>
  <si>
    <t>Marija Delač</t>
  </si>
  <si>
    <t>Ante Karin</t>
  </si>
  <si>
    <t>030</t>
  </si>
  <si>
    <t>Branka Kovačević</t>
  </si>
  <si>
    <t>037</t>
  </si>
  <si>
    <t>Alojzija Petrić</t>
  </si>
  <si>
    <t>051</t>
  </si>
  <si>
    <t>Terezija Lakušić</t>
  </si>
  <si>
    <t>039</t>
  </si>
  <si>
    <t>Katica Tvrdojević</t>
  </si>
  <si>
    <t>077</t>
  </si>
  <si>
    <t>Lidija Udovčić</t>
  </si>
  <si>
    <t>078</t>
  </si>
  <si>
    <t>044</t>
  </si>
  <si>
    <t>Jasna Rukavina</t>
  </si>
  <si>
    <t>062</t>
  </si>
  <si>
    <t>Tajana Radičević</t>
  </si>
  <si>
    <t>103</t>
  </si>
  <si>
    <t>Danijela Ljubac Mec</t>
  </si>
  <si>
    <t>112</t>
  </si>
  <si>
    <t>005</t>
  </si>
  <si>
    <t>Sanja Zlatarević</t>
  </si>
  <si>
    <t>083</t>
  </si>
  <si>
    <t>Jelena Trbojević</t>
  </si>
  <si>
    <t>107</t>
  </si>
  <si>
    <t>18.</t>
  </si>
  <si>
    <t>Ivana Leitkam</t>
  </si>
  <si>
    <t>181</t>
  </si>
  <si>
    <t>19.</t>
  </si>
  <si>
    <t>159</t>
  </si>
  <si>
    <t>20.</t>
  </si>
  <si>
    <t>Ida Zukanović Šimunović</t>
  </si>
  <si>
    <t>165</t>
  </si>
  <si>
    <t>21.</t>
  </si>
  <si>
    <t>Antonija Raspasović</t>
  </si>
  <si>
    <t>167</t>
  </si>
  <si>
    <t>22.</t>
  </si>
  <si>
    <t>Martina Kovačević</t>
  </si>
  <si>
    <t>156</t>
  </si>
  <si>
    <t>23.</t>
  </si>
  <si>
    <t>Stjepan Kokanović</t>
  </si>
  <si>
    <t>034</t>
  </si>
  <si>
    <t>24.</t>
  </si>
  <si>
    <t>047</t>
  </si>
  <si>
    <t>25.</t>
  </si>
  <si>
    <t>Marica Puškarić</t>
  </si>
  <si>
    <t>056</t>
  </si>
  <si>
    <t>26.</t>
  </si>
  <si>
    <t>Dubravka Pletikapić</t>
  </si>
  <si>
    <t>054</t>
  </si>
  <si>
    <t>27.</t>
  </si>
  <si>
    <t>Damir Valjetić</t>
  </si>
  <si>
    <t>173</t>
  </si>
  <si>
    <t>28.</t>
  </si>
  <si>
    <t>Nevenka Divnić</t>
  </si>
  <si>
    <t>021</t>
  </si>
  <si>
    <t>29.</t>
  </si>
  <si>
    <t>Ivan Živić</t>
  </si>
  <si>
    <t>084</t>
  </si>
  <si>
    <t>30.</t>
  </si>
  <si>
    <t>31.</t>
  </si>
  <si>
    <t>Ilija Trgovčević</t>
  </si>
  <si>
    <t>192</t>
  </si>
  <si>
    <t>32.</t>
  </si>
  <si>
    <t>076</t>
  </si>
  <si>
    <t>33.</t>
  </si>
  <si>
    <t>Andreja Grško Čičak</t>
  </si>
  <si>
    <t>124</t>
  </si>
  <si>
    <t>34.</t>
  </si>
  <si>
    <t>Tanja Bilić</t>
  </si>
  <si>
    <t>177</t>
  </si>
  <si>
    <t>35.</t>
  </si>
  <si>
    <t>Maja Stepić</t>
  </si>
  <si>
    <t>176</t>
  </si>
  <si>
    <t>36.</t>
  </si>
  <si>
    <t>Mirta Degmečić</t>
  </si>
  <si>
    <t>183</t>
  </si>
  <si>
    <t>37.</t>
  </si>
  <si>
    <t>Milica Šabić</t>
  </si>
  <si>
    <t>070</t>
  </si>
  <si>
    <t>38.</t>
  </si>
  <si>
    <t>Branka Kolovrat</t>
  </si>
  <si>
    <t>035</t>
  </si>
  <si>
    <t>39.</t>
  </si>
  <si>
    <t>Mirjana Vuksanović</t>
  </si>
  <si>
    <t>082</t>
  </si>
  <si>
    <t>40.</t>
  </si>
  <si>
    <t>Sanja Žutinić</t>
  </si>
  <si>
    <t>160</t>
  </si>
  <si>
    <t>41.</t>
  </si>
  <si>
    <t>Matija Benić</t>
  </si>
  <si>
    <t>194</t>
  </si>
  <si>
    <t>42.</t>
  </si>
  <si>
    <t>Marija Čokolić</t>
  </si>
  <si>
    <t>015</t>
  </si>
  <si>
    <t>43.</t>
  </si>
  <si>
    <t>Jasenka Kovačević</t>
  </si>
  <si>
    <t>038</t>
  </si>
  <si>
    <t>44.</t>
  </si>
  <si>
    <t>Stjepan Stanić</t>
  </si>
  <si>
    <t>068</t>
  </si>
  <si>
    <t>45.</t>
  </si>
  <si>
    <t>Nataša Stanković</t>
  </si>
  <si>
    <t>147</t>
  </si>
  <si>
    <t>46.</t>
  </si>
  <si>
    <t>Mirta Grubišić</t>
  </si>
  <si>
    <t>027</t>
  </si>
  <si>
    <t>47.</t>
  </si>
  <si>
    <t>Sandra Lešić</t>
  </si>
  <si>
    <t>163</t>
  </si>
  <si>
    <t>48.</t>
  </si>
  <si>
    <t>49.</t>
  </si>
  <si>
    <t>Robert Smuda</t>
  </si>
  <si>
    <t>066</t>
  </si>
  <si>
    <t>50.</t>
  </si>
  <si>
    <t>Josip Jurković</t>
  </si>
  <si>
    <t>145</t>
  </si>
  <si>
    <t>51.</t>
  </si>
  <si>
    <t>Ivana Čabraja</t>
  </si>
  <si>
    <t>193</t>
  </si>
  <si>
    <t>52.</t>
  </si>
  <si>
    <t>Josip Aničić</t>
  </si>
  <si>
    <t>132</t>
  </si>
  <si>
    <t>53.</t>
  </si>
  <si>
    <t>54.</t>
  </si>
  <si>
    <t>Pero Popić</t>
  </si>
  <si>
    <t>185</t>
  </si>
  <si>
    <t>55.</t>
  </si>
  <si>
    <t>56.</t>
  </si>
  <si>
    <t>Antonija Ružić</t>
  </si>
  <si>
    <t>178</t>
  </si>
  <si>
    <t>57.</t>
  </si>
  <si>
    <t>Željka Rubil</t>
  </si>
  <si>
    <t>060</t>
  </si>
  <si>
    <t>58.</t>
  </si>
  <si>
    <t>Dragana Juščak</t>
  </si>
  <si>
    <t>101</t>
  </si>
  <si>
    <t>59.</t>
  </si>
  <si>
    <t>Marina Čretni</t>
  </si>
  <si>
    <t>175</t>
  </si>
  <si>
    <t>60.</t>
  </si>
  <si>
    <t>Antun Čukić</t>
  </si>
  <si>
    <t>016</t>
  </si>
  <si>
    <t>61.</t>
  </si>
  <si>
    <t>Marta Miletić</t>
  </si>
  <si>
    <t>046</t>
  </si>
  <si>
    <t>62.</t>
  </si>
  <si>
    <t>Jadranka Petričević</t>
  </si>
  <si>
    <t>050</t>
  </si>
  <si>
    <t>63.</t>
  </si>
  <si>
    <t>Evica Pitlović</t>
  </si>
  <si>
    <t>088</t>
  </si>
  <si>
    <t>64.</t>
  </si>
  <si>
    <t>Ružica Rakić</t>
  </si>
  <si>
    <t>104</t>
  </si>
  <si>
    <t>65.</t>
  </si>
  <si>
    <t>Marta Petrušić</t>
  </si>
  <si>
    <t>053</t>
  </si>
  <si>
    <t>66.</t>
  </si>
  <si>
    <t>Vlatka Antunović</t>
  </si>
  <si>
    <t>002</t>
  </si>
  <si>
    <t>67.</t>
  </si>
  <si>
    <t>Danijela Kovačević</t>
  </si>
  <si>
    <t>117</t>
  </si>
  <si>
    <t>68.</t>
  </si>
  <si>
    <t>Katica Ružić</t>
  </si>
  <si>
    <t>087</t>
  </si>
  <si>
    <t>69.</t>
  </si>
  <si>
    <t>Marija Štević</t>
  </si>
  <si>
    <t>179</t>
  </si>
  <si>
    <t>70.</t>
  </si>
  <si>
    <t>Ivanka Žambok</t>
  </si>
  <si>
    <t>115</t>
  </si>
  <si>
    <t>71.</t>
  </si>
  <si>
    <t>Petra Ružić</t>
  </si>
  <si>
    <t>063</t>
  </si>
  <si>
    <t>72.</t>
  </si>
  <si>
    <t>Irena Guberac</t>
  </si>
  <si>
    <t>118</t>
  </si>
  <si>
    <t>73.</t>
  </si>
  <si>
    <t>Irena Štević</t>
  </si>
  <si>
    <t>154</t>
  </si>
  <si>
    <t>74.</t>
  </si>
  <si>
    <t>Snježana Rašković</t>
  </si>
  <si>
    <t>196</t>
  </si>
  <si>
    <t>75.</t>
  </si>
  <si>
    <t>76.</t>
  </si>
  <si>
    <t>77.</t>
  </si>
  <si>
    <t>Sanja Valjetić</t>
  </si>
  <si>
    <t>197</t>
  </si>
  <si>
    <t>78.</t>
  </si>
  <si>
    <t>Vesna Šimić</t>
  </si>
  <si>
    <t>072</t>
  </si>
  <si>
    <t>79.</t>
  </si>
  <si>
    <t>Nada Knežević</t>
  </si>
  <si>
    <t>033</t>
  </si>
  <si>
    <t>80.</t>
  </si>
  <si>
    <t>Maja Skutari</t>
  </si>
  <si>
    <t>065</t>
  </si>
  <si>
    <t>Gordana Franić</t>
  </si>
  <si>
    <t>025</t>
  </si>
  <si>
    <t>Marija Vukasović</t>
  </si>
  <si>
    <t>080</t>
  </si>
  <si>
    <t>Joso Tunjić</t>
  </si>
  <si>
    <t>116</t>
  </si>
  <si>
    <t>UKUPNO</t>
  </si>
  <si>
    <t>Ranka Vranešević</t>
  </si>
  <si>
    <t>Dražen Blekić</t>
  </si>
  <si>
    <t>202</t>
  </si>
  <si>
    <t>Ivana Čukić</t>
  </si>
  <si>
    <t>201</t>
  </si>
  <si>
    <t>Zrinka Fišer</t>
  </si>
  <si>
    <t>169</t>
  </si>
  <si>
    <t>Alenka Rac</t>
  </si>
  <si>
    <t>130</t>
  </si>
  <si>
    <t>Ivanka Kljaić</t>
  </si>
  <si>
    <t>091</t>
  </si>
  <si>
    <t>Dubravka Matuško</t>
  </si>
  <si>
    <t>Tanja Birer Novoselović</t>
  </si>
  <si>
    <t>Željka Vargić</t>
  </si>
  <si>
    <t>Slavica Topolovec</t>
  </si>
  <si>
    <t>Šifra</t>
  </si>
  <si>
    <r>
      <t xml:space="preserve">Plaća za  </t>
    </r>
    <r>
      <rPr>
        <b/>
        <sz val="14"/>
        <color indexed="8"/>
        <rFont val="Calibri"/>
        <family val="0"/>
      </rPr>
      <t>LISTOPAD</t>
    </r>
    <r>
      <rPr>
        <sz val="14"/>
        <color indexed="8"/>
        <rFont val="Calibri"/>
        <family val="2"/>
      </rPr>
      <t xml:space="preserve">  2011.g.</t>
    </r>
  </si>
  <si>
    <t>R.BR.</t>
  </si>
  <si>
    <r>
      <t xml:space="preserve">PLAĆA ZA: </t>
    </r>
    <r>
      <rPr>
        <b/>
        <sz val="11"/>
        <color indexed="8"/>
        <rFont val="Calibri"/>
        <family val="0"/>
      </rPr>
      <t>STUDENI 2011</t>
    </r>
  </si>
  <si>
    <t>Danijela Vidović</t>
  </si>
  <si>
    <r>
      <t xml:space="preserve">Rad po prilag.prog. </t>
    </r>
    <r>
      <rPr>
        <b/>
        <sz val="8"/>
        <color indexed="8"/>
        <rFont val="Calibri"/>
        <family val="2"/>
      </rPr>
      <t>Š=04</t>
    </r>
  </si>
  <si>
    <r>
      <t xml:space="preserve">Prekovrem. Rad </t>
    </r>
    <r>
      <rPr>
        <b/>
        <sz val="8"/>
        <color indexed="8"/>
        <rFont val="Calibri"/>
        <family val="2"/>
      </rPr>
      <t>Š=06</t>
    </r>
  </si>
  <si>
    <r>
      <t xml:space="preserve">Zamjene </t>
    </r>
    <r>
      <rPr>
        <b/>
        <sz val="8"/>
        <color indexed="8"/>
        <rFont val="Calibri"/>
        <family val="2"/>
      </rPr>
      <t>Š=05</t>
    </r>
  </si>
  <si>
    <r>
      <t xml:space="preserve">Smjenski rad </t>
    </r>
    <r>
      <rPr>
        <b/>
        <sz val="8"/>
        <color indexed="8"/>
        <rFont val="Calibri"/>
        <family val="2"/>
      </rPr>
      <t>Š=09</t>
    </r>
  </si>
  <si>
    <r>
      <t xml:space="preserve">Kombinacije </t>
    </r>
    <r>
      <rPr>
        <b/>
        <sz val="8"/>
        <color indexed="8"/>
        <rFont val="Calibri"/>
        <family val="2"/>
      </rPr>
      <t>Š=16</t>
    </r>
  </si>
  <si>
    <r>
      <t xml:space="preserve">Prijevoz </t>
    </r>
    <r>
      <rPr>
        <b/>
        <sz val="8"/>
        <color indexed="8"/>
        <rFont val="Calibri"/>
        <family val="2"/>
      </rPr>
      <t>Š=24</t>
    </r>
  </si>
  <si>
    <t>Dar djeci</t>
  </si>
  <si>
    <r>
      <t xml:space="preserve">PLAĆA ZA: </t>
    </r>
    <r>
      <rPr>
        <b/>
        <sz val="11"/>
        <color indexed="8"/>
        <rFont val="Calibri"/>
        <family val="0"/>
      </rPr>
      <t>PROSINAC 2011</t>
    </r>
  </si>
  <si>
    <t>regres</t>
  </si>
  <si>
    <r>
      <t xml:space="preserve">PLAĆA ZA: </t>
    </r>
    <r>
      <rPr>
        <b/>
        <sz val="11"/>
        <color indexed="8"/>
        <rFont val="Calibri"/>
        <family val="0"/>
      </rPr>
      <t>SIJEČANJ 2012</t>
    </r>
  </si>
  <si>
    <t>Helena Aničić</t>
  </si>
  <si>
    <t>Banka</t>
  </si>
  <si>
    <t>PBZ</t>
  </si>
  <si>
    <t>SLAVONSKA</t>
  </si>
  <si>
    <t>RBA</t>
  </si>
  <si>
    <t>HPB</t>
  </si>
  <si>
    <t>ZABA</t>
  </si>
  <si>
    <t>SPLITSKA</t>
  </si>
  <si>
    <t>ERSTE</t>
  </si>
  <si>
    <t>HYPO ALPE</t>
  </si>
  <si>
    <t>HYPO-ALPE</t>
  </si>
  <si>
    <t>Tekući račun</t>
  </si>
  <si>
    <t>126</t>
  </si>
  <si>
    <t>203</t>
  </si>
  <si>
    <r>
      <t xml:space="preserve">PLAĆA ZA: </t>
    </r>
    <r>
      <rPr>
        <b/>
        <sz val="11"/>
        <color indexed="8"/>
        <rFont val="Calibri"/>
        <family val="0"/>
      </rPr>
      <t>VELJAČA 2012</t>
    </r>
  </si>
  <si>
    <t>Ivana Leikam</t>
  </si>
  <si>
    <t>Evica Pitlović 1/4h</t>
  </si>
  <si>
    <t>Ružica Rakić 1/2h</t>
  </si>
  <si>
    <t>Joso Tunjić 1/2h</t>
  </si>
  <si>
    <t>Marija Štević 1/4h</t>
  </si>
  <si>
    <t>Danijela Jovanovac</t>
  </si>
  <si>
    <t>koeficijent</t>
  </si>
  <si>
    <t>Maja Ferić</t>
  </si>
  <si>
    <t>RB</t>
  </si>
  <si>
    <r>
      <t xml:space="preserve">Rad po prilag.
prog. </t>
    </r>
    <r>
      <rPr>
        <b/>
        <sz val="8"/>
        <color indexed="8"/>
        <rFont val="Calibri"/>
        <family val="2"/>
      </rPr>
      <t>Š=04</t>
    </r>
  </si>
  <si>
    <r>
      <t xml:space="preserve">Prekovremeni
 rad </t>
    </r>
    <r>
      <rPr>
        <b/>
        <sz val="8"/>
        <color indexed="8"/>
        <rFont val="Calibri"/>
        <family val="2"/>
      </rPr>
      <t>Š=06</t>
    </r>
  </si>
  <si>
    <t>PLAĆA ZA: OŽUJAK 2012</t>
  </si>
  <si>
    <t>Sandra Lešić Birtić</t>
  </si>
  <si>
    <t>81.</t>
  </si>
  <si>
    <t>Snježana Božur</t>
  </si>
  <si>
    <t>PLAĆA ZA OŽUJAK 2012</t>
  </si>
  <si>
    <t>82.</t>
  </si>
  <si>
    <t>2. koef.</t>
  </si>
  <si>
    <t>2043</t>
  </si>
  <si>
    <t>205</t>
  </si>
  <si>
    <t>PLAĆA ZA: TRAVANJ 2012</t>
  </si>
  <si>
    <t>PLAĆA ZA: SVIBANJ 2012</t>
  </si>
  <si>
    <t xml:space="preserve">Vidović Danijela </t>
  </si>
  <si>
    <t xml:space="preserve">Božur Snježana </t>
  </si>
  <si>
    <t xml:space="preserve">Kljaić Ivanka </t>
  </si>
  <si>
    <t xml:space="preserve">Rac Alenka </t>
  </si>
  <si>
    <t xml:space="preserve">Fišer Zrinka </t>
  </si>
  <si>
    <t xml:space="preserve">Blekić Dražen </t>
  </si>
  <si>
    <t xml:space="preserve">Čukić Ivana </t>
  </si>
  <si>
    <t xml:space="preserve">Tunjić Joso </t>
  </si>
  <si>
    <t xml:space="preserve">Vukasović Marija </t>
  </si>
  <si>
    <t xml:space="preserve">Franić Gordana </t>
  </si>
  <si>
    <t xml:space="preserve">Jovanovac Danijela </t>
  </si>
  <si>
    <t xml:space="preserve">Skutari Maja </t>
  </si>
  <si>
    <t xml:space="preserve">Knežević Nada </t>
  </si>
  <si>
    <t xml:space="preserve">Šimić Vesna </t>
  </si>
  <si>
    <t xml:space="preserve">Valjetić Sanja </t>
  </si>
  <si>
    <t xml:space="preserve">Rašković Snježana </t>
  </si>
  <si>
    <t xml:space="preserve">Štević Irena </t>
  </si>
  <si>
    <t xml:space="preserve">Guberac Irena </t>
  </si>
  <si>
    <t xml:space="preserve">Ružić Petra </t>
  </si>
  <si>
    <t xml:space="preserve">Žambok Ivanka </t>
  </si>
  <si>
    <t xml:space="preserve">Štević Marija </t>
  </si>
  <si>
    <t xml:space="preserve">Ružić Katica </t>
  </si>
  <si>
    <t xml:space="preserve">Kovačević Danijela </t>
  </si>
  <si>
    <t xml:space="preserve">Antunović Vlatka </t>
  </si>
  <si>
    <t xml:space="preserve">Petrušić Marta </t>
  </si>
  <si>
    <t xml:space="preserve">Rakić Ružica </t>
  </si>
  <si>
    <t xml:space="preserve">Pitlović Evica </t>
  </si>
  <si>
    <t xml:space="preserve">Petričević Jadranka </t>
  </si>
  <si>
    <t xml:space="preserve">Čukić Antun </t>
  </si>
  <si>
    <t xml:space="preserve">Čretni Marina </t>
  </si>
  <si>
    <t xml:space="preserve">Juščak Dragana </t>
  </si>
  <si>
    <t xml:space="preserve">Rubil Željka </t>
  </si>
  <si>
    <t xml:space="preserve">Ružić Antonija </t>
  </si>
  <si>
    <t xml:space="preserve">Popić Pero </t>
  </si>
  <si>
    <t xml:space="preserve">Aničić Helena </t>
  </si>
  <si>
    <t xml:space="preserve">Aničić Josip </t>
  </si>
  <si>
    <t xml:space="preserve">Čabraja Ivana </t>
  </si>
  <si>
    <t xml:space="preserve">Jurković Josip </t>
  </si>
  <si>
    <t xml:space="preserve">Smuda Robert </t>
  </si>
  <si>
    <t xml:space="preserve">Lešić Birtić Sandra </t>
  </si>
  <si>
    <t xml:space="preserve">Grubišić Mirta </t>
  </si>
  <si>
    <t xml:space="preserve">Stanković Nataša </t>
  </si>
  <si>
    <t xml:space="preserve">Stanić Stjepan </t>
  </si>
  <si>
    <t xml:space="preserve">Kovačević Jasenka </t>
  </si>
  <si>
    <t xml:space="preserve">Čokolić Marija </t>
  </si>
  <si>
    <t xml:space="preserve">Benić Matija </t>
  </si>
  <si>
    <t xml:space="preserve">Žutinić Sanja </t>
  </si>
  <si>
    <t xml:space="preserve">Vuksanović Mirjana </t>
  </si>
  <si>
    <t xml:space="preserve">Kolovrat Branka </t>
  </si>
  <si>
    <t xml:space="preserve">Šabić Milica </t>
  </si>
  <si>
    <t xml:space="preserve">Degmečić Mirta </t>
  </si>
  <si>
    <t xml:space="preserve">Ferić Maja </t>
  </si>
  <si>
    <t xml:space="preserve">Grško Čičak Andreja </t>
  </si>
  <si>
    <t xml:space="preserve">Topolovec Slavica </t>
  </si>
  <si>
    <t xml:space="preserve">Trgovčević Ilija </t>
  </si>
  <si>
    <t xml:space="preserve">Živić Ivan </t>
  </si>
  <si>
    <t xml:space="preserve">Divnić Nevenka </t>
  </si>
  <si>
    <t xml:space="preserve">Valjetić Damir </t>
  </si>
  <si>
    <t xml:space="preserve">Pletikapić Dubravka </t>
  </si>
  <si>
    <t xml:space="preserve">Puškarić Marica </t>
  </si>
  <si>
    <t xml:space="preserve">Vranešević Ranka </t>
  </si>
  <si>
    <t xml:space="preserve">Kokanović Stjepan </t>
  </si>
  <si>
    <t xml:space="preserve">Kovačević Martina </t>
  </si>
  <si>
    <t xml:space="preserve">Raspasović Antonija </t>
  </si>
  <si>
    <t xml:space="preserve">Zukanović Šimunović Ida </t>
  </si>
  <si>
    <t xml:space="preserve">Vargić Željka </t>
  </si>
  <si>
    <t xml:space="preserve">Bilić Tanja </t>
  </si>
  <si>
    <t xml:space="preserve">Trbojević Jelena </t>
  </si>
  <si>
    <t xml:space="preserve">Zlatarević Sanja </t>
  </si>
  <si>
    <t xml:space="preserve">Birer Novoselović Tanja </t>
  </si>
  <si>
    <t xml:space="preserve">Radičević Tajana </t>
  </si>
  <si>
    <t xml:space="preserve">Rukavina Jasna </t>
  </si>
  <si>
    <t xml:space="preserve">Matuško Dubravka </t>
  </si>
  <si>
    <t xml:space="preserve">Udovčić Lidija </t>
  </si>
  <si>
    <t xml:space="preserve">Tvrdojević Katica </t>
  </si>
  <si>
    <t xml:space="preserve">Lakušić Terezija </t>
  </si>
  <si>
    <t xml:space="preserve">Petrić Alojzija </t>
  </si>
  <si>
    <t xml:space="preserve">Kovačević Branka </t>
  </si>
  <si>
    <t xml:space="preserve">Karin Ante </t>
  </si>
  <si>
    <t xml:space="preserve">Delač Marija </t>
  </si>
  <si>
    <t xml:space="preserve">Babić Marija </t>
  </si>
  <si>
    <t>Ljubac Mec Danijela</t>
  </si>
  <si>
    <t>204</t>
  </si>
  <si>
    <t>PLAĆA ZA: LIPANJ 2012</t>
  </si>
  <si>
    <t>Franjo Martić</t>
  </si>
  <si>
    <t>206</t>
  </si>
  <si>
    <t>bruto cij. h
koef.*osn./174</t>
  </si>
  <si>
    <t>83.</t>
  </si>
  <si>
    <t>207</t>
  </si>
  <si>
    <t xml:space="preserve"> Kristina Žižman</t>
  </si>
  <si>
    <t>Rad po prilag.
prog. Š=04</t>
  </si>
  <si>
    <t>Prekovremeni
 rad Š=06</t>
  </si>
  <si>
    <t>Zamjene Š=05</t>
  </si>
  <si>
    <t>Smjenski rad Š=09</t>
  </si>
  <si>
    <t>Kombinacije Š=16</t>
  </si>
  <si>
    <t>Prijevoz Š=24</t>
  </si>
  <si>
    <t>Smjenski 
rad Š=09</t>
  </si>
  <si>
    <t>Kristina Žižman</t>
  </si>
  <si>
    <t>PLAĆA ZA: SRPANJ 2012</t>
  </si>
  <si>
    <t>PLAĆA ZA: KOLOVOZ 2012</t>
  </si>
  <si>
    <t>Silvana Iličević</t>
  </si>
  <si>
    <t>208</t>
  </si>
  <si>
    <t xml:space="preserve">Prijevoz </t>
  </si>
  <si>
    <t>Petra Ružić Hančar</t>
  </si>
  <si>
    <t>ISPLAĆENO</t>
  </si>
  <si>
    <t>Marina Gronjak</t>
  </si>
  <si>
    <t>Irena Guberac Radičević</t>
  </si>
  <si>
    <t>RAZLIKA</t>
  </si>
  <si>
    <t>STVARNI IZNOS</t>
  </si>
  <si>
    <t xml:space="preserve"> ISPLATITI ZA 
STUDENI</t>
  </si>
  <si>
    <t>ISPLATITI ZA 
PROSINAC</t>
  </si>
  <si>
    <t>RAZLIKE RADA U POSEBNIM UVJETIMA</t>
  </si>
  <si>
    <t>VIŠE UPLAĆENO</t>
  </si>
  <si>
    <t>84.</t>
  </si>
  <si>
    <t>85.</t>
  </si>
  <si>
    <t>Antonija Koristka</t>
  </si>
  <si>
    <t>Željko Šimić</t>
  </si>
  <si>
    <t>Marija Blagović</t>
  </si>
  <si>
    <t>Marina Dujmić</t>
  </si>
  <si>
    <t>Irena Karabalić</t>
  </si>
  <si>
    <t>Dragana Kozić</t>
  </si>
  <si>
    <t>Nikolina Marinac</t>
  </si>
  <si>
    <t>Sanda Majić</t>
  </si>
  <si>
    <t>216</t>
  </si>
  <si>
    <t>218</t>
  </si>
  <si>
    <t>Kristina Udovičić</t>
  </si>
  <si>
    <t>199</t>
  </si>
  <si>
    <t>Ivana Poznić</t>
  </si>
  <si>
    <t>210</t>
  </si>
  <si>
    <t>Antonija Ćutunić</t>
  </si>
  <si>
    <t>Jasmina Vučetić</t>
  </si>
  <si>
    <t>-</t>
  </si>
  <si>
    <t>Vjekoslav Janković</t>
  </si>
  <si>
    <t>219</t>
  </si>
  <si>
    <t>220</t>
  </si>
  <si>
    <t>Nuri Ziberi</t>
  </si>
  <si>
    <t>Damir Valjetić BOL. 23.01.</t>
  </si>
  <si>
    <t>Jasenka Kovačević BOL. 13.01.</t>
  </si>
  <si>
    <t>Antonija Raspasović GOD. 10.1., RAD 21.2.</t>
  </si>
  <si>
    <t>PRILAGOĐENI/4*3</t>
  </si>
  <si>
    <t>PREKOVREMENI/4*3</t>
  </si>
  <si>
    <t>SMJENSKI/4*3</t>
  </si>
  <si>
    <t>KOMBINACIJE/4*3</t>
  </si>
  <si>
    <t>Irena Štević                                 PORODILJNI</t>
  </si>
  <si>
    <t xml:space="preserve">Zrinka Fišer                                   PORODILJNI </t>
  </si>
  <si>
    <t>Danijela Ljubac Mec                           KOMPL</t>
  </si>
  <si>
    <t>Helena Aničić                                        KOMPL</t>
  </si>
  <si>
    <t>Nikolina Baričević</t>
  </si>
  <si>
    <t xml:space="preserve">Antonija Raspasović    </t>
  </si>
  <si>
    <t>?</t>
  </si>
  <si>
    <t xml:space="preserve">Ivana Poznić                </t>
  </si>
  <si>
    <t>PLAĆA ZA: TRAVANJ - 2014. god.</t>
  </si>
  <si>
    <r>
      <t xml:space="preserve">21 RADNI DAN + 1 BLAGDAN X 8 SATI = </t>
    </r>
    <r>
      <rPr>
        <b/>
        <sz val="10"/>
        <rFont val="Calibri"/>
        <family val="2"/>
      </rPr>
      <t>172 SATI</t>
    </r>
  </si>
  <si>
    <t xml:space="preserve">Milica Šabić                     </t>
  </si>
  <si>
    <t>Damir Valjetić   FOND   S + RAD    S + BOL 8 S</t>
  </si>
  <si>
    <t>Tanja Bilić   RAD 140 S+ NJEGA DJETETA 32 S</t>
  </si>
  <si>
    <t>Matija Benić                        RAD 110+22 SATI</t>
  </si>
  <si>
    <t>Josip Jurković                RAD 124 S + BOL 48 S</t>
  </si>
  <si>
    <t xml:space="preserve">Jasenka Kovačević              FOND   S + RAD   S </t>
  </si>
  <si>
    <t>Antonija Koristka        R 116 S + B/KOM 56 S</t>
  </si>
  <si>
    <t>Evica Pitlović                                             43 S</t>
  </si>
  <si>
    <t>Joso Tunjić                                                86 S</t>
  </si>
  <si>
    <t>Marija Štević                                            43 S</t>
  </si>
  <si>
    <t>Ivana Čukić                                               86 S</t>
  </si>
  <si>
    <t>Željko Šimić                                              2 SUB</t>
  </si>
  <si>
    <t>Jadranka Petričević                                2 SUB</t>
  </si>
  <si>
    <t xml:space="preserve">Ružica Rakić                                     GOD 64 S       </t>
  </si>
  <si>
    <t xml:space="preserve">Nuri Ziberi                      2 SUB = </t>
  </si>
  <si>
    <t>Prilagođeni - sati</t>
  </si>
  <si>
    <t>Smjenski - sati</t>
  </si>
  <si>
    <t>Prekovremeni
 rad</t>
  </si>
  <si>
    <t>Ivana Čukić                                             172 S</t>
  </si>
  <si>
    <t>Sunčani sati</t>
  </si>
  <si>
    <t>Dragana Kozić                      RAZLIKA 2458,68</t>
  </si>
  <si>
    <t>Sanda Majić                                       RAD 24 S</t>
  </si>
  <si>
    <t>Marija Lukić                                       RAD 16 S</t>
  </si>
  <si>
    <t>DV</t>
  </si>
  <si>
    <t xml:space="preserve">Antonija Koristka        </t>
  </si>
  <si>
    <r>
      <t xml:space="preserve">21 RADNI DAN + 1 BLAGDAN X 8 SATI = </t>
    </r>
    <r>
      <rPr>
        <b/>
        <sz val="10"/>
        <rFont val="Calibri"/>
        <family val="2"/>
      </rPr>
      <t>176 SATI</t>
    </r>
  </si>
  <si>
    <t xml:space="preserve">Jasenka Kovačević    FOND 104 S + RAD 72 S </t>
  </si>
  <si>
    <t>Josip Jurković               RAD 128 S + BOL 48 S</t>
  </si>
  <si>
    <t>Tanja Bilić   RAD 144 S+ NJEGA DJETETA 32 S</t>
  </si>
  <si>
    <t>Irena Guberac Radičević R 160 S+BOL 16 S</t>
  </si>
  <si>
    <t xml:space="preserve">Ivana Poznić           RAD 152 S + KOMPL 24 S             </t>
  </si>
  <si>
    <t>Damir Valjetić          FOND 72 S + RAD 104 S</t>
  </si>
  <si>
    <t>Nikolina Marinac                  RAZLIKA 924,70</t>
  </si>
  <si>
    <t>PLAĆA ZA: svibanj - 2014. god.</t>
  </si>
  <si>
    <t>Šimić Vesna</t>
  </si>
  <si>
    <t>Iličević Silvana</t>
  </si>
  <si>
    <t>Babić Marija</t>
  </si>
  <si>
    <t>Delač Marija</t>
  </si>
  <si>
    <t>Vargić Željka</t>
  </si>
  <si>
    <t xml:space="preserve">Valjetić Damir   </t>
  </si>
  <si>
    <t xml:space="preserve">Marinac Nikolina </t>
  </si>
  <si>
    <t xml:space="preserve">Bilić Tanja   </t>
  </si>
  <si>
    <t xml:space="preserve">Šabić Milica                     </t>
  </si>
  <si>
    <t>Vuksanović Mirjana</t>
  </si>
  <si>
    <t>Grubišić Mirta</t>
  </si>
  <si>
    <t xml:space="preserve">Udovičić Kristina </t>
  </si>
  <si>
    <t xml:space="preserve">Kovačević Jasenka               </t>
  </si>
  <si>
    <t>Guberac-Radičević Irena           KOMPL</t>
  </si>
  <si>
    <t xml:space="preserve">Koristka Antonija       </t>
  </si>
  <si>
    <t xml:space="preserve">Dujmić Marina </t>
  </si>
  <si>
    <t xml:space="preserve">Ružić Hančar Petra </t>
  </si>
  <si>
    <t xml:space="preserve">Gronjak Marina </t>
  </si>
  <si>
    <t xml:space="preserve">Ćutunić Antonija </t>
  </si>
  <si>
    <t xml:space="preserve">Janković Vjekoslav </t>
  </si>
  <si>
    <t xml:space="preserve">Baričević Nikolina </t>
  </si>
  <si>
    <t xml:space="preserve">Majić Sanda </t>
  </si>
  <si>
    <t xml:space="preserve">Lukić Marija </t>
  </si>
  <si>
    <t>Valjetić Sanja</t>
  </si>
  <si>
    <t>Vranešević Ranka</t>
  </si>
  <si>
    <t>Vučetić Jasmina</t>
  </si>
  <si>
    <t>P1 10562</t>
  </si>
  <si>
    <t>P2 10564</t>
  </si>
  <si>
    <t>P3 10566</t>
  </si>
  <si>
    <t>Kombinacije 9 i više uč. 10570</t>
  </si>
  <si>
    <t xml:space="preserve">Smjenski 
rad 1090 </t>
  </si>
  <si>
    <t>Akontacija 2381</t>
  </si>
  <si>
    <t xml:space="preserve">Prijevoz 2380 </t>
  </si>
  <si>
    <t xml:space="preserve">Aničić Helena                         PORODILJNI       </t>
  </si>
  <si>
    <t xml:space="preserve">Benić Matija         RAD     +    =     S </t>
  </si>
  <si>
    <t xml:space="preserve">Grško-Čičak Andreja  </t>
  </si>
  <si>
    <t xml:space="preserve">Kozić Dragana              </t>
  </si>
  <si>
    <t>Ljubac-Mec Danijela            PORODILJNI</t>
  </si>
  <si>
    <t>Petričević Jadranka                       SUB</t>
  </si>
  <si>
    <t>Šimić Željko                                           SUB</t>
  </si>
  <si>
    <t>Ziberi Nuri                           SUB =    S</t>
  </si>
  <si>
    <t>Redovan rad</t>
  </si>
  <si>
    <t>Blagdan</t>
  </si>
  <si>
    <t>GO</t>
  </si>
  <si>
    <t>Sati GO</t>
  </si>
  <si>
    <t>Bruto GO</t>
  </si>
  <si>
    <t xml:space="preserve">Benić Matija         </t>
  </si>
  <si>
    <t>Birer-Novoselović Tatjana</t>
  </si>
  <si>
    <t xml:space="preserve">Čukić Ivana               </t>
  </si>
  <si>
    <t xml:space="preserve">Degmečić Mirta     </t>
  </si>
  <si>
    <t xml:space="preserve">Fišer Zrinka  </t>
  </si>
  <si>
    <t xml:space="preserve">Guberac-Radičević Irena        </t>
  </si>
  <si>
    <t xml:space="preserve">Petričević Jadranka                     </t>
  </si>
  <si>
    <t xml:space="preserve">Pitlović Evica             </t>
  </si>
  <si>
    <t xml:space="preserve">Skutari Maja        </t>
  </si>
  <si>
    <t xml:space="preserve">Šimić Željko                                      </t>
  </si>
  <si>
    <t xml:space="preserve">Štević Irena     </t>
  </si>
  <si>
    <t xml:space="preserve">Štević Marija                 </t>
  </si>
  <si>
    <t xml:space="preserve">Tunjić Joso                     </t>
  </si>
  <si>
    <t xml:space="preserve">Ziberi Nuri                        </t>
  </si>
  <si>
    <t xml:space="preserve">Koristka Antonija                 KOMPLIKACIJE     </t>
  </si>
  <si>
    <t xml:space="preserve">Baboselac Marina                      RR 1.8. - 24.8.    </t>
  </si>
  <si>
    <t>Bilić Tanja           RODILJNI 48 s (22.8 - 31.8.)</t>
  </si>
  <si>
    <t>Đurđević Josip                            RR 1.8. - 31. 8.</t>
  </si>
  <si>
    <t>234</t>
  </si>
  <si>
    <t>Čokolić  Iva</t>
  </si>
  <si>
    <t>Birer Novoselović Tanja</t>
  </si>
  <si>
    <t>Đurđević Josip</t>
  </si>
  <si>
    <t xml:space="preserve">Čukić Ivana              </t>
  </si>
  <si>
    <t xml:space="preserve">Grško Čičak Andreja  </t>
  </si>
  <si>
    <t xml:space="preserve">Jurković Josip  </t>
  </si>
  <si>
    <t>Jurančević Bojana</t>
  </si>
  <si>
    <t>Hrgović Anita</t>
  </si>
  <si>
    <t xml:space="preserve">Radeljak Pavica </t>
  </si>
  <si>
    <t xml:space="preserve">Galojlić Antonija     </t>
  </si>
  <si>
    <t xml:space="preserve">Vidaković  Snježana </t>
  </si>
  <si>
    <t xml:space="preserve">Kruljac Mirko                    </t>
  </si>
  <si>
    <t xml:space="preserve">Štević Irena    </t>
  </si>
  <si>
    <t xml:space="preserve">Štević Marija                </t>
  </si>
  <si>
    <t>Lukač Josip</t>
  </si>
  <si>
    <t>Zamjene -1180</t>
  </si>
  <si>
    <t xml:space="preserve">Prekovremeni  10724 </t>
  </si>
  <si>
    <t>86.</t>
  </si>
  <si>
    <t>87.</t>
  </si>
  <si>
    <t>88.</t>
  </si>
  <si>
    <t>Balen Ana</t>
  </si>
  <si>
    <t>Lovaković Anamarija</t>
  </si>
  <si>
    <t>Karabalić Irena</t>
  </si>
  <si>
    <t>Penić Mirela</t>
  </si>
  <si>
    <t xml:space="preserve">Kombinacije do 8 uč. 10536 </t>
  </si>
  <si>
    <t>PLAĆA ZA: SIJEČANJ 2015. god.</t>
  </si>
  <si>
    <r>
      <t xml:space="preserve">20 RADNI DAN = </t>
    </r>
    <r>
      <rPr>
        <b/>
        <sz val="10"/>
        <rFont val="Calibri"/>
        <family val="2"/>
      </rPr>
      <t>160  SATI  , 2 DRŽAVNA PRAZNIKA = 16H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</si>
</sst>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00000.0"/>
    <numFmt numFmtId="166" formatCode="[$-41A]d\.\ mmmm\ yyyy"/>
    <numFmt numFmtId="167" formatCode="00000\-0000"/>
    <numFmt numFmtId="168" formatCode="0.000"/>
    <numFmt numFmtId="169" formatCode="#,##0.00\ _k_n"/>
  </numFmts>
  <fonts count="54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2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49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34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4" fillId="0" borderId="37" xfId="0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8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4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48" xfId="0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52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5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55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49" fontId="4" fillId="0" borderId="57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4" fontId="4" fillId="0" borderId="56" xfId="0" applyNumberFormat="1" applyFont="1" applyBorder="1" applyAlignment="1">
      <alignment horizontal="center"/>
    </xf>
    <xf numFmtId="4" fontId="4" fillId="0" borderId="60" xfId="0" applyNumberFormat="1" applyFont="1" applyBorder="1" applyAlignment="1">
      <alignment/>
    </xf>
    <xf numFmtId="0" fontId="4" fillId="0" borderId="45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4" fontId="4" fillId="0" borderId="62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63" xfId="0" applyNumberFormat="1" applyFont="1" applyBorder="1" applyAlignment="1">
      <alignment/>
    </xf>
    <xf numFmtId="4" fontId="4" fillId="0" borderId="64" xfId="0" applyNumberFormat="1" applyFont="1" applyBorder="1" applyAlignment="1">
      <alignment/>
    </xf>
    <xf numFmtId="49" fontId="4" fillId="0" borderId="65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/>
    </xf>
    <xf numFmtId="4" fontId="4" fillId="0" borderId="67" xfId="0" applyNumberFormat="1" applyFont="1" applyBorder="1" applyAlignment="1">
      <alignment/>
    </xf>
    <xf numFmtId="0" fontId="4" fillId="0" borderId="42" xfId="0" applyFont="1" applyBorder="1" applyAlignment="1">
      <alignment/>
    </xf>
    <xf numFmtId="168" fontId="0" fillId="0" borderId="0" xfId="0" applyNumberFormat="1" applyAlignment="1">
      <alignment/>
    </xf>
    <xf numFmtId="168" fontId="4" fillId="0" borderId="42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46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8" fontId="4" fillId="0" borderId="68" xfId="0" applyNumberFormat="1" applyFont="1" applyBorder="1" applyAlignment="1">
      <alignment/>
    </xf>
    <xf numFmtId="0" fontId="4" fillId="0" borderId="4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0" fontId="4" fillId="0" borderId="68" xfId="0" applyFont="1" applyBorder="1" applyAlignment="1">
      <alignment/>
    </xf>
    <xf numFmtId="0" fontId="4" fillId="0" borderId="55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 shrinkToFit="1"/>
    </xf>
    <xf numFmtId="49" fontId="4" fillId="0" borderId="68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8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168" fontId="4" fillId="0" borderId="1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68" fontId="4" fillId="0" borderId="0" xfId="0" applyNumberFormat="1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7" fillId="0" borderId="0" xfId="0" applyFont="1" applyAlignment="1">
      <alignment/>
    </xf>
    <xf numFmtId="0" fontId="4" fillId="0" borderId="42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/>
    </xf>
    <xf numFmtId="168" fontId="4" fillId="0" borderId="42" xfId="0" applyNumberFormat="1" applyFont="1" applyFill="1" applyBorder="1" applyAlignment="1">
      <alignment/>
    </xf>
    <xf numFmtId="4" fontId="4" fillId="0" borderId="67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/>
    </xf>
    <xf numFmtId="4" fontId="4" fillId="0" borderId="3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5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49" fontId="4" fillId="0" borderId="40" xfId="0" applyNumberFormat="1" applyFont="1" applyFill="1" applyBorder="1" applyAlignment="1">
      <alignment horizontal="center"/>
    </xf>
    <xf numFmtId="4" fontId="4" fillId="0" borderId="71" xfId="0" applyNumberFormat="1" applyFont="1" applyBorder="1" applyAlignment="1">
      <alignment/>
    </xf>
    <xf numFmtId="4" fontId="4" fillId="0" borderId="72" xfId="0" applyNumberFormat="1" applyFont="1" applyBorder="1" applyAlignment="1">
      <alignment/>
    </xf>
    <xf numFmtId="168" fontId="4" fillId="0" borderId="45" xfId="0" applyNumberFormat="1" applyFont="1" applyBorder="1" applyAlignment="1">
      <alignment/>
    </xf>
    <xf numFmtId="0" fontId="4" fillId="0" borderId="73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4" fillId="0" borderId="58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4" fillId="0" borderId="6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/>
    </xf>
    <xf numFmtId="4" fontId="4" fillId="0" borderId="74" xfId="0" applyNumberFormat="1" applyFont="1" applyBorder="1" applyAlignment="1">
      <alignment/>
    </xf>
    <xf numFmtId="4" fontId="8" fillId="0" borderId="15" xfId="0" applyNumberFormat="1" applyFont="1" applyBorder="1" applyAlignment="1">
      <alignment horizontal="center" vertical="center" wrapText="1"/>
    </xf>
    <xf numFmtId="0" fontId="4" fillId="0" borderId="75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49" fontId="4" fillId="0" borderId="4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/>
    </xf>
    <xf numFmtId="4" fontId="2" fillId="0" borderId="7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68" fontId="4" fillId="0" borderId="55" xfId="0" applyNumberFormat="1" applyFont="1" applyBorder="1" applyAlignment="1">
      <alignment/>
    </xf>
    <xf numFmtId="168" fontId="4" fillId="0" borderId="53" xfId="0" applyNumberFormat="1" applyFont="1" applyBorder="1" applyAlignment="1">
      <alignment/>
    </xf>
    <xf numFmtId="168" fontId="4" fillId="0" borderId="53" xfId="0" applyNumberFormat="1" applyFont="1" applyFill="1" applyBorder="1" applyAlignment="1">
      <alignment/>
    </xf>
    <xf numFmtId="2" fontId="4" fillId="0" borderId="27" xfId="0" applyNumberFormat="1" applyFont="1" applyBorder="1" applyAlignment="1">
      <alignment/>
    </xf>
    <xf numFmtId="168" fontId="2" fillId="0" borderId="52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36" xfId="0" applyNumberFormat="1" applyFont="1" applyBorder="1" applyAlignment="1">
      <alignment horizontal="center" vertical="center" shrinkToFit="1"/>
    </xf>
    <xf numFmtId="2" fontId="4" fillId="0" borderId="24" xfId="0" applyNumberFormat="1" applyFont="1" applyBorder="1" applyAlignment="1">
      <alignment/>
    </xf>
    <xf numFmtId="2" fontId="4" fillId="0" borderId="36" xfId="0" applyNumberFormat="1" applyFont="1" applyBorder="1" applyAlignment="1">
      <alignment horizontal="center" vertical="center" wrapText="1" shrinkToFit="1"/>
    </xf>
    <xf numFmtId="2" fontId="0" fillId="0" borderId="24" xfId="0" applyNumberFormat="1" applyBorder="1" applyAlignment="1">
      <alignment/>
    </xf>
    <xf numFmtId="2" fontId="2" fillId="0" borderId="36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4" fillId="0" borderId="40" xfId="0" applyNumberFormat="1" applyFont="1" applyBorder="1" applyAlignment="1">
      <alignment/>
    </xf>
    <xf numFmtId="49" fontId="4" fillId="0" borderId="54" xfId="0" applyNumberFormat="1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8" fontId="11" fillId="0" borderId="52" xfId="0" applyNumberFormat="1" applyFont="1" applyBorder="1" applyAlignment="1">
      <alignment horizontal="center" vertical="center" shrinkToFit="1"/>
    </xf>
    <xf numFmtId="0" fontId="8" fillId="0" borderId="7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168" fontId="11" fillId="0" borderId="14" xfId="0" applyNumberFormat="1" applyFont="1" applyBorder="1" applyAlignment="1">
      <alignment horizontal="center" vertical="center" textRotation="90"/>
    </xf>
    <xf numFmtId="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shrinkToFit="1"/>
    </xf>
    <xf numFmtId="0" fontId="1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8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 textRotation="90"/>
    </xf>
    <xf numFmtId="2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9" fontId="4" fillId="0" borderId="45" xfId="0" applyNumberFormat="1" applyFont="1" applyFill="1" applyBorder="1" applyAlignment="1">
      <alignment horizontal="center"/>
    </xf>
    <xf numFmtId="168" fontId="4" fillId="0" borderId="24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4" fontId="4" fillId="0" borderId="76" xfId="0" applyNumberFormat="1" applyFont="1" applyFill="1" applyBorder="1" applyAlignment="1">
      <alignment/>
    </xf>
    <xf numFmtId="4" fontId="4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76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4" fontId="4" fillId="0" borderId="6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168" fontId="11" fillId="0" borderId="27" xfId="0" applyNumberFormat="1" applyFont="1" applyBorder="1" applyAlignment="1">
      <alignment horizontal="center" vertical="center" textRotation="90"/>
    </xf>
    <xf numFmtId="2" fontId="11" fillId="0" borderId="27" xfId="0" applyNumberFormat="1" applyFont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 shrinkToFit="1"/>
    </xf>
    <xf numFmtId="0" fontId="4" fillId="0" borderId="39" xfId="0" applyNumberFormat="1" applyFont="1" applyBorder="1" applyAlignment="1">
      <alignment horizontal="center"/>
    </xf>
    <xf numFmtId="168" fontId="4" fillId="0" borderId="39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14" fillId="0" borderId="10" xfId="0" applyNumberFormat="1" applyFont="1" applyFill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4" fontId="14" fillId="0" borderId="32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39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39" xfId="0" applyNumberFormat="1" applyFont="1" applyBorder="1" applyAlignment="1">
      <alignment/>
    </xf>
    <xf numFmtId="0" fontId="18" fillId="0" borderId="27" xfId="0" applyFont="1" applyBorder="1" applyAlignment="1">
      <alignment horizontal="center" vertical="center" wrapText="1"/>
    </xf>
    <xf numFmtId="4" fontId="17" fillId="0" borderId="27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1" fillId="32" borderId="0" xfId="0" applyFont="1" applyFill="1" applyAlignment="1">
      <alignment/>
    </xf>
    <xf numFmtId="0" fontId="11" fillId="0" borderId="0" xfId="0" applyFont="1" applyAlignment="1">
      <alignment/>
    </xf>
    <xf numFmtId="4" fontId="16" fillId="0" borderId="10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6" fillId="0" borderId="43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168" fontId="4" fillId="32" borderId="0" xfId="0" applyNumberFormat="1" applyFont="1" applyFill="1" applyAlignment="1">
      <alignment/>
    </xf>
    <xf numFmtId="2" fontId="4" fillId="0" borderId="0" xfId="0" applyNumberFormat="1" applyFont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/>
    </xf>
    <xf numFmtId="0" fontId="11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4" fontId="15" fillId="0" borderId="39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NumberFormat="1" applyAlignment="1">
      <alignment horizontal="right"/>
    </xf>
    <xf numFmtId="0" fontId="1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1" fillId="0" borderId="10" xfId="0" applyNumberFormat="1" applyFont="1" applyBorder="1" applyAlignment="1">
      <alignment horizontal="center" vertical="center" wrapText="1" shrinkToFit="1"/>
    </xf>
    <xf numFmtId="4" fontId="0" fillId="0" borderId="10" xfId="0" applyNumberForma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15" fillId="32" borderId="10" xfId="0" applyNumberFormat="1" applyFont="1" applyFill="1" applyBorder="1" applyAlignment="1">
      <alignment horizontal="center"/>
    </xf>
    <xf numFmtId="0" fontId="0" fillId="32" borderId="10" xfId="0" applyNumberFormat="1" applyFill="1" applyBorder="1" applyAlignment="1">
      <alignment horizontal="center"/>
    </xf>
    <xf numFmtId="0" fontId="15" fillId="3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right"/>
    </xf>
    <xf numFmtId="0" fontId="14" fillId="32" borderId="10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 vertical="center" wrapText="1"/>
    </xf>
    <xf numFmtId="4" fontId="15" fillId="3" borderId="1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33" xfId="0" applyNumberFormat="1" applyFont="1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74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66" xfId="0" applyNumberFormat="1" applyFont="1" applyBorder="1" applyAlignment="1">
      <alignment/>
    </xf>
    <xf numFmtId="2" fontId="47" fillId="29" borderId="1" xfId="50" applyNumberFormat="1" applyBorder="1" applyAlignment="1">
      <alignment horizontal="right"/>
    </xf>
    <xf numFmtId="0" fontId="4" fillId="0" borderId="10" xfId="0" applyFont="1" applyFill="1" applyBorder="1" applyAlignment="1" quotePrefix="1">
      <alignment horizontal="right"/>
    </xf>
    <xf numFmtId="0" fontId="11" fillId="32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6"/>
  <sheetViews>
    <sheetView workbookViewId="0" topLeftCell="A1">
      <selection activeCell="I83" sqref="I83"/>
    </sheetView>
  </sheetViews>
  <sheetFormatPr defaultColWidth="23.421875" defaultRowHeight="15"/>
  <cols>
    <col min="1" max="1" width="6.421875" style="1" customWidth="1"/>
    <col min="2" max="2" width="27.140625" style="1" customWidth="1"/>
    <col min="3" max="3" width="7.7109375" style="3" customWidth="1"/>
    <col min="4" max="4" width="23.00390625" style="11" customWidth="1"/>
    <col min="5" max="5" width="17.8515625" style="11" customWidth="1"/>
    <col min="6" max="6" width="12.8515625" style="11" customWidth="1"/>
    <col min="7" max="7" width="16.8515625" style="11" customWidth="1"/>
    <col min="8" max="8" width="15.57421875" style="11" customWidth="1"/>
    <col min="9" max="9" width="16.28125" style="11" customWidth="1"/>
    <col min="10" max="10" width="15.140625" style="1" customWidth="1"/>
    <col min="11" max="16384" width="23.421875" style="1" customWidth="1"/>
  </cols>
  <sheetData>
    <row r="2" ht="18.75">
      <c r="A2" s="1" t="s">
        <v>255</v>
      </c>
    </row>
    <row r="3" ht="19.5" thickBot="1"/>
    <row r="4" spans="1:10" s="3" customFormat="1" ht="18.75" customHeight="1" thickBot="1">
      <c r="A4" s="22" t="s">
        <v>0</v>
      </c>
      <c r="B4" s="24" t="s">
        <v>17</v>
      </c>
      <c r="C4" s="22" t="s">
        <v>254</v>
      </c>
      <c r="D4" s="13" t="s">
        <v>18</v>
      </c>
      <c r="E4" s="17" t="s">
        <v>19</v>
      </c>
      <c r="F4" s="19" t="s">
        <v>20</v>
      </c>
      <c r="G4" s="15" t="s">
        <v>22</v>
      </c>
      <c r="H4" s="27" t="s">
        <v>25</v>
      </c>
      <c r="I4" s="15" t="s">
        <v>27</v>
      </c>
      <c r="J4" s="10"/>
    </row>
    <row r="5" spans="1:10" s="3" customFormat="1" ht="19.5" thickBot="1">
      <c r="A5" s="23"/>
      <c r="B5" s="25"/>
      <c r="C5" s="23"/>
      <c r="D5" s="14" t="s">
        <v>24</v>
      </c>
      <c r="E5" s="16" t="s">
        <v>21</v>
      </c>
      <c r="F5" s="20"/>
      <c r="G5" s="16" t="s">
        <v>23</v>
      </c>
      <c r="H5" s="16" t="s">
        <v>26</v>
      </c>
      <c r="I5" s="16" t="s">
        <v>28</v>
      </c>
      <c r="J5" s="21"/>
    </row>
    <row r="6" spans="1:10" ht="12.75" customHeight="1">
      <c r="A6" s="29" t="s">
        <v>1</v>
      </c>
      <c r="B6" s="30" t="s">
        <v>29</v>
      </c>
      <c r="C6" s="31" t="s">
        <v>31</v>
      </c>
      <c r="D6" s="32">
        <v>267.76</v>
      </c>
      <c r="E6" s="32"/>
      <c r="F6" s="32"/>
      <c r="G6" s="32">
        <v>387.36</v>
      </c>
      <c r="H6" s="32"/>
      <c r="I6" s="33">
        <v>250</v>
      </c>
      <c r="J6" s="4"/>
    </row>
    <row r="7" spans="1:10" ht="12.75" customHeight="1">
      <c r="A7" s="34" t="s">
        <v>2</v>
      </c>
      <c r="B7" s="35" t="s">
        <v>33</v>
      </c>
      <c r="C7" s="36" t="s">
        <v>32</v>
      </c>
      <c r="D7" s="37"/>
      <c r="E7" s="37"/>
      <c r="F7" s="37"/>
      <c r="G7" s="37">
        <v>370.88</v>
      </c>
      <c r="H7" s="37"/>
      <c r="I7" s="38">
        <v>250</v>
      </c>
      <c r="J7" s="5"/>
    </row>
    <row r="8" spans="1:10" ht="12.75" customHeight="1">
      <c r="A8" s="34" t="s">
        <v>3</v>
      </c>
      <c r="B8" s="35" t="s">
        <v>34</v>
      </c>
      <c r="C8" s="36" t="s">
        <v>35</v>
      </c>
      <c r="D8" s="37"/>
      <c r="E8" s="37"/>
      <c r="F8" s="37"/>
      <c r="G8" s="37">
        <v>346.96</v>
      </c>
      <c r="H8" s="37"/>
      <c r="I8" s="38">
        <v>807</v>
      </c>
      <c r="J8" s="5"/>
    </row>
    <row r="9" spans="1:10" ht="12.75" customHeight="1">
      <c r="A9" s="39" t="s">
        <v>4</v>
      </c>
      <c r="B9" s="35" t="s">
        <v>36</v>
      </c>
      <c r="C9" s="36" t="s">
        <v>37</v>
      </c>
      <c r="D9" s="37">
        <v>535.52</v>
      </c>
      <c r="E9" s="37"/>
      <c r="F9" s="37"/>
      <c r="G9" s="37">
        <v>387.36</v>
      </c>
      <c r="H9" s="37"/>
      <c r="I9" s="38">
        <v>250</v>
      </c>
      <c r="J9" s="5"/>
    </row>
    <row r="10" spans="1:10" ht="12.75" customHeight="1">
      <c r="A10" s="39" t="s">
        <v>5</v>
      </c>
      <c r="B10" s="35" t="s">
        <v>38</v>
      </c>
      <c r="C10" s="36" t="s">
        <v>39</v>
      </c>
      <c r="D10" s="37"/>
      <c r="E10" s="37"/>
      <c r="F10" s="37"/>
      <c r="G10" s="37">
        <v>384.08</v>
      </c>
      <c r="H10" s="37"/>
      <c r="I10" s="38"/>
      <c r="J10" s="5"/>
    </row>
    <row r="11" spans="1:10" ht="12.75" customHeight="1">
      <c r="A11" s="39" t="s">
        <v>6</v>
      </c>
      <c r="B11" s="35" t="s">
        <v>40</v>
      </c>
      <c r="C11" s="36" t="s">
        <v>41</v>
      </c>
      <c r="D11" s="37"/>
      <c r="E11" s="37"/>
      <c r="F11" s="37"/>
      <c r="G11" s="37"/>
      <c r="H11" s="37">
        <v>728.01</v>
      </c>
      <c r="I11" s="38"/>
      <c r="J11" s="5"/>
    </row>
    <row r="12" spans="1:10" ht="12.75" customHeight="1">
      <c r="A12" s="39" t="s">
        <v>7</v>
      </c>
      <c r="B12" s="35" t="s">
        <v>42</v>
      </c>
      <c r="C12" s="36" t="s">
        <v>43</v>
      </c>
      <c r="D12" s="37"/>
      <c r="E12" s="37"/>
      <c r="F12" s="37"/>
      <c r="G12" s="37">
        <v>392.24</v>
      </c>
      <c r="H12" s="37"/>
      <c r="I12" s="38"/>
      <c r="J12" s="5"/>
    </row>
    <row r="13" spans="1:10" ht="12.75" customHeight="1">
      <c r="A13" s="34" t="s">
        <v>8</v>
      </c>
      <c r="B13" s="35" t="s">
        <v>44</v>
      </c>
      <c r="C13" s="36" t="s">
        <v>45</v>
      </c>
      <c r="D13" s="37">
        <v>224.6</v>
      </c>
      <c r="E13" s="37">
        <v>513.36</v>
      </c>
      <c r="F13" s="37"/>
      <c r="G13" s="37">
        <v>342.24</v>
      </c>
      <c r="H13" s="37"/>
      <c r="I13" s="38">
        <v>250</v>
      </c>
      <c r="J13" s="5"/>
    </row>
    <row r="14" spans="1:10" ht="12.75" customHeight="1">
      <c r="A14" s="34" t="s">
        <v>9</v>
      </c>
      <c r="B14" s="35" t="s">
        <v>250</v>
      </c>
      <c r="C14" s="36" t="s">
        <v>46</v>
      </c>
      <c r="D14" s="37"/>
      <c r="E14" s="37"/>
      <c r="F14" s="37"/>
      <c r="G14" s="37">
        <v>334.72</v>
      </c>
      <c r="H14" s="37"/>
      <c r="I14" s="38">
        <v>600</v>
      </c>
      <c r="J14" s="5"/>
    </row>
    <row r="15" spans="1:10" ht="12.75" customHeight="1">
      <c r="A15" s="34" t="s">
        <v>30</v>
      </c>
      <c r="B15" s="35" t="s">
        <v>47</v>
      </c>
      <c r="C15" s="36" t="s">
        <v>48</v>
      </c>
      <c r="D15" s="37">
        <v>460.76</v>
      </c>
      <c r="E15" s="37"/>
      <c r="F15" s="37"/>
      <c r="G15" s="37">
        <v>333.28</v>
      </c>
      <c r="H15" s="37"/>
      <c r="I15" s="38">
        <v>250</v>
      </c>
      <c r="J15" s="5"/>
    </row>
    <row r="16" spans="1:10" ht="12.75" customHeight="1">
      <c r="A16" s="34" t="s">
        <v>10</v>
      </c>
      <c r="B16" s="35" t="s">
        <v>49</v>
      </c>
      <c r="C16" s="36" t="s">
        <v>50</v>
      </c>
      <c r="D16" s="37"/>
      <c r="E16" s="37"/>
      <c r="F16" s="37"/>
      <c r="G16" s="37">
        <v>329.28</v>
      </c>
      <c r="H16" s="37"/>
      <c r="I16" s="38">
        <v>650</v>
      </c>
      <c r="J16" s="5"/>
    </row>
    <row r="17" spans="1:10" ht="12.75" customHeight="1">
      <c r="A17" s="34" t="s">
        <v>11</v>
      </c>
      <c r="B17" s="35" t="s">
        <v>51</v>
      </c>
      <c r="C17" s="36" t="s">
        <v>52</v>
      </c>
      <c r="D17" s="37"/>
      <c r="E17" s="37"/>
      <c r="F17" s="37"/>
      <c r="G17" s="37">
        <v>324.64</v>
      </c>
      <c r="H17" s="37"/>
      <c r="I17" s="38">
        <v>650</v>
      </c>
      <c r="J17" s="5"/>
    </row>
    <row r="18" spans="1:10" ht="12.75" customHeight="1">
      <c r="A18" s="34" t="s">
        <v>12</v>
      </c>
      <c r="B18" s="35" t="s">
        <v>251</v>
      </c>
      <c r="C18" s="36" t="s">
        <v>53</v>
      </c>
      <c r="D18" s="37"/>
      <c r="E18" s="37"/>
      <c r="F18" s="37"/>
      <c r="G18" s="37">
        <v>310.96</v>
      </c>
      <c r="H18" s="37"/>
      <c r="I18" s="38">
        <v>650</v>
      </c>
      <c r="J18" s="5"/>
    </row>
    <row r="19" spans="1:10" ht="12.75" customHeight="1">
      <c r="A19" s="34" t="s">
        <v>13</v>
      </c>
      <c r="B19" s="35" t="s">
        <v>54</v>
      </c>
      <c r="C19" s="36" t="s">
        <v>55</v>
      </c>
      <c r="D19" s="37"/>
      <c r="E19" s="37"/>
      <c r="F19" s="37"/>
      <c r="G19" s="37">
        <v>320.4</v>
      </c>
      <c r="H19" s="37"/>
      <c r="I19" s="38">
        <v>600</v>
      </c>
      <c r="J19" s="5"/>
    </row>
    <row r="20" spans="1:10" ht="12.75" customHeight="1">
      <c r="A20" s="34" t="s">
        <v>14</v>
      </c>
      <c r="B20" s="35" t="s">
        <v>56</v>
      </c>
      <c r="C20" s="36" t="s">
        <v>57</v>
      </c>
      <c r="D20" s="37"/>
      <c r="E20" s="37"/>
      <c r="F20" s="37"/>
      <c r="G20" s="37"/>
      <c r="H20" s="37">
        <v>846.02</v>
      </c>
      <c r="I20" s="37"/>
      <c r="J20" s="2"/>
    </row>
    <row r="21" spans="1:10" ht="12.75" customHeight="1">
      <c r="A21" s="34" t="s">
        <v>15</v>
      </c>
      <c r="B21" s="35" t="s">
        <v>59</v>
      </c>
      <c r="C21" s="36" t="s">
        <v>60</v>
      </c>
      <c r="D21" s="37">
        <v>176.51</v>
      </c>
      <c r="E21" s="37"/>
      <c r="F21" s="37">
        <v>277.44</v>
      </c>
      <c r="G21" s="37"/>
      <c r="H21" s="37"/>
      <c r="I21" s="37"/>
      <c r="J21" s="2"/>
    </row>
    <row r="22" spans="1:10" ht="12.75" customHeight="1">
      <c r="A22" s="34" t="s">
        <v>16</v>
      </c>
      <c r="B22" s="35" t="s">
        <v>102</v>
      </c>
      <c r="C22" s="36" t="s">
        <v>103</v>
      </c>
      <c r="D22" s="37"/>
      <c r="E22" s="37"/>
      <c r="F22" s="37"/>
      <c r="G22" s="37">
        <v>315.2</v>
      </c>
      <c r="H22" s="37"/>
      <c r="I22" s="37">
        <v>250</v>
      </c>
      <c r="J22" s="2"/>
    </row>
    <row r="23" spans="1:10" ht="12.75" customHeight="1">
      <c r="A23" s="34" t="s">
        <v>58</v>
      </c>
      <c r="B23" s="35" t="s">
        <v>252</v>
      </c>
      <c r="C23" s="36" t="s">
        <v>62</v>
      </c>
      <c r="D23" s="37"/>
      <c r="E23" s="37"/>
      <c r="F23" s="37"/>
      <c r="G23" s="37"/>
      <c r="H23" s="37">
        <v>1008.48</v>
      </c>
      <c r="I23" s="37">
        <v>650</v>
      </c>
      <c r="J23" s="2"/>
    </row>
    <row r="24" spans="1:10" ht="12.75" customHeight="1">
      <c r="A24" s="34" t="s">
        <v>61</v>
      </c>
      <c r="B24" s="35" t="s">
        <v>64</v>
      </c>
      <c r="C24" s="36" t="s">
        <v>65</v>
      </c>
      <c r="D24" s="37"/>
      <c r="E24" s="37"/>
      <c r="F24" s="37"/>
      <c r="G24" s="37">
        <v>307.44</v>
      </c>
      <c r="H24" s="37"/>
      <c r="I24" s="37">
        <v>600</v>
      </c>
      <c r="J24" s="2"/>
    </row>
    <row r="25" spans="1:10" ht="12.75" customHeight="1">
      <c r="A25" s="34" t="s">
        <v>63</v>
      </c>
      <c r="B25" s="35" t="s">
        <v>67</v>
      </c>
      <c r="C25" s="36" t="s">
        <v>68</v>
      </c>
      <c r="D25" s="37"/>
      <c r="E25" s="37"/>
      <c r="F25" s="37"/>
      <c r="G25" s="37">
        <v>307.44</v>
      </c>
      <c r="H25" s="37">
        <v>668.75</v>
      </c>
      <c r="I25" s="37">
        <v>830</v>
      </c>
      <c r="J25" s="2"/>
    </row>
    <row r="26" spans="1:10" ht="12.75" customHeight="1">
      <c r="A26" s="34" t="s">
        <v>66</v>
      </c>
      <c r="B26" s="35" t="s">
        <v>70</v>
      </c>
      <c r="C26" s="36" t="s">
        <v>71</v>
      </c>
      <c r="D26" s="37"/>
      <c r="E26" s="37"/>
      <c r="F26" s="37"/>
      <c r="G26" s="37">
        <v>309.12</v>
      </c>
      <c r="H26" s="37"/>
      <c r="I26" s="37">
        <v>650</v>
      </c>
      <c r="J26" s="2"/>
    </row>
    <row r="27" spans="1:10" ht="12.75" customHeight="1">
      <c r="A27" s="34" t="s">
        <v>69</v>
      </c>
      <c r="B27" s="35" t="s">
        <v>73</v>
      </c>
      <c r="C27" s="36" t="s">
        <v>74</v>
      </c>
      <c r="D27" s="37">
        <v>199.97</v>
      </c>
      <c r="E27" s="37"/>
      <c r="F27" s="37"/>
      <c r="G27" s="37">
        <v>387.36</v>
      </c>
      <c r="H27" s="37"/>
      <c r="I27" s="37">
        <v>710</v>
      </c>
      <c r="J27" s="2"/>
    </row>
    <row r="28" spans="1:10" ht="12.75" customHeight="1">
      <c r="A28" s="34" t="s">
        <v>72</v>
      </c>
      <c r="B28" s="35" t="s">
        <v>239</v>
      </c>
      <c r="C28" s="36" t="s">
        <v>76</v>
      </c>
      <c r="D28" s="37">
        <v>653.83</v>
      </c>
      <c r="E28" s="37"/>
      <c r="F28" s="37"/>
      <c r="G28" s="37">
        <v>369.92</v>
      </c>
      <c r="H28" s="37"/>
      <c r="I28" s="37">
        <v>250</v>
      </c>
      <c r="J28" s="2"/>
    </row>
    <row r="29" spans="1:10" ht="12.75" customHeight="1">
      <c r="A29" s="34" t="s">
        <v>75</v>
      </c>
      <c r="B29" s="35" t="s">
        <v>78</v>
      </c>
      <c r="C29" s="36" t="s">
        <v>79</v>
      </c>
      <c r="D29" s="37">
        <v>374.9</v>
      </c>
      <c r="E29" s="37"/>
      <c r="F29" s="37"/>
      <c r="G29" s="37">
        <v>396.72</v>
      </c>
      <c r="H29" s="37"/>
      <c r="I29" s="38"/>
      <c r="J29" s="5"/>
    </row>
    <row r="30" spans="1:10" ht="12.75" customHeight="1">
      <c r="A30" s="34" t="s">
        <v>77</v>
      </c>
      <c r="B30" s="35" t="s">
        <v>81</v>
      </c>
      <c r="C30" s="36" t="s">
        <v>82</v>
      </c>
      <c r="D30" s="37"/>
      <c r="E30" s="37"/>
      <c r="F30" s="37"/>
      <c r="G30" s="37">
        <v>366.64</v>
      </c>
      <c r="H30" s="37"/>
      <c r="I30" s="38"/>
      <c r="J30" s="5"/>
    </row>
    <row r="31" spans="1:10" ht="12.75" customHeight="1">
      <c r="A31" s="34" t="s">
        <v>80</v>
      </c>
      <c r="B31" s="35" t="s">
        <v>84</v>
      </c>
      <c r="C31" s="36" t="s">
        <v>85</v>
      </c>
      <c r="D31" s="37"/>
      <c r="E31" s="37"/>
      <c r="F31" s="37"/>
      <c r="G31" s="37">
        <v>306.08</v>
      </c>
      <c r="H31" s="37"/>
      <c r="I31" s="38">
        <v>250</v>
      </c>
      <c r="J31" s="5"/>
    </row>
    <row r="32" spans="1:10" ht="12.75" customHeight="1">
      <c r="A32" s="34" t="s">
        <v>83</v>
      </c>
      <c r="B32" s="35" t="s">
        <v>87</v>
      </c>
      <c r="C32" s="36" t="s">
        <v>88</v>
      </c>
      <c r="D32" s="37">
        <v>107.99</v>
      </c>
      <c r="E32" s="37"/>
      <c r="F32" s="37"/>
      <c r="G32" s="37">
        <v>385.68</v>
      </c>
      <c r="H32" s="37"/>
      <c r="I32" s="38"/>
      <c r="J32" s="5"/>
    </row>
    <row r="33" spans="1:10" ht="12.75" customHeight="1">
      <c r="A33" s="34" t="s">
        <v>86</v>
      </c>
      <c r="B33" s="35" t="s">
        <v>90</v>
      </c>
      <c r="C33" s="36" t="s">
        <v>91</v>
      </c>
      <c r="D33" s="37">
        <v>601.59</v>
      </c>
      <c r="E33" s="37">
        <v>585.96</v>
      </c>
      <c r="F33" s="37">
        <v>292.98</v>
      </c>
      <c r="G33" s="37">
        <v>366.64</v>
      </c>
      <c r="H33" s="37"/>
      <c r="I33" s="38"/>
      <c r="J33" s="5"/>
    </row>
    <row r="34" spans="1:10" ht="12.75" customHeight="1">
      <c r="A34" s="34" t="s">
        <v>89</v>
      </c>
      <c r="B34" s="35" t="s">
        <v>94</v>
      </c>
      <c r="C34" s="36" t="s">
        <v>95</v>
      </c>
      <c r="D34" s="37">
        <v>405.21</v>
      </c>
      <c r="E34" s="37"/>
      <c r="F34" s="37"/>
      <c r="G34" s="37">
        <v>385.92</v>
      </c>
      <c r="H34" s="37"/>
      <c r="I34" s="38">
        <v>250</v>
      </c>
      <c r="J34" s="5"/>
    </row>
    <row r="35" spans="1:10" ht="12.75" customHeight="1">
      <c r="A35" s="34" t="s">
        <v>92</v>
      </c>
      <c r="B35" s="35" t="s">
        <v>253</v>
      </c>
      <c r="C35" s="36" t="s">
        <v>97</v>
      </c>
      <c r="D35" s="37"/>
      <c r="E35" s="37"/>
      <c r="F35" s="37"/>
      <c r="G35" s="37">
        <v>364.8</v>
      </c>
      <c r="H35" s="37"/>
      <c r="I35" s="38"/>
      <c r="J35" s="5"/>
    </row>
    <row r="36" spans="1:10" ht="12.75" customHeight="1" thickBot="1">
      <c r="A36" s="40" t="s">
        <v>93</v>
      </c>
      <c r="B36" s="41" t="s">
        <v>99</v>
      </c>
      <c r="C36" s="42" t="s">
        <v>100</v>
      </c>
      <c r="D36" s="43"/>
      <c r="E36" s="43"/>
      <c r="F36" s="43"/>
      <c r="G36" s="43">
        <v>315.2</v>
      </c>
      <c r="H36" s="43"/>
      <c r="I36" s="44">
        <v>250</v>
      </c>
      <c r="J36" s="26"/>
    </row>
    <row r="37" spans="1:10" ht="12.75" customHeight="1" thickBot="1">
      <c r="A37" s="45" t="s">
        <v>96</v>
      </c>
      <c r="B37" s="46" t="s">
        <v>105</v>
      </c>
      <c r="C37" s="47" t="s">
        <v>106</v>
      </c>
      <c r="D37" s="48"/>
      <c r="E37" s="48"/>
      <c r="F37" s="48"/>
      <c r="G37" s="48">
        <v>304.4</v>
      </c>
      <c r="H37" s="48"/>
      <c r="I37" s="49">
        <v>1008</v>
      </c>
      <c r="J37" s="6"/>
    </row>
    <row r="38" spans="1:10" s="28" customFormat="1" ht="13.5" thickBot="1">
      <c r="A38" s="45" t="s">
        <v>98</v>
      </c>
      <c r="B38" s="46" t="s">
        <v>108</v>
      </c>
      <c r="C38" s="47" t="s">
        <v>109</v>
      </c>
      <c r="D38" s="48"/>
      <c r="E38" s="48">
        <v>465.84</v>
      </c>
      <c r="F38" s="48"/>
      <c r="G38" s="48">
        <v>310.56</v>
      </c>
      <c r="H38" s="48"/>
      <c r="I38" s="49">
        <v>903</v>
      </c>
      <c r="J38" s="50"/>
    </row>
    <row r="39" spans="1:10" s="28" customFormat="1" ht="12.75">
      <c r="A39" s="29" t="s">
        <v>101</v>
      </c>
      <c r="B39" s="30" t="s">
        <v>111</v>
      </c>
      <c r="C39" s="31" t="s">
        <v>112</v>
      </c>
      <c r="D39" s="32">
        <v>355.48</v>
      </c>
      <c r="E39" s="32"/>
      <c r="F39" s="32"/>
      <c r="G39" s="32">
        <v>366.64</v>
      </c>
      <c r="H39" s="32"/>
      <c r="I39" s="33">
        <v>250</v>
      </c>
      <c r="J39" s="51"/>
    </row>
    <row r="40" spans="1:10" s="28" customFormat="1" ht="12.75">
      <c r="A40" s="34" t="s">
        <v>104</v>
      </c>
      <c r="B40" s="35" t="s">
        <v>114</v>
      </c>
      <c r="C40" s="36" t="s">
        <v>115</v>
      </c>
      <c r="D40" s="37">
        <v>333.2</v>
      </c>
      <c r="E40" s="37"/>
      <c r="F40" s="37"/>
      <c r="G40" s="37">
        <v>366.16</v>
      </c>
      <c r="H40" s="37"/>
      <c r="I40" s="38"/>
      <c r="J40" s="52"/>
    </row>
    <row r="41" spans="1:10" s="28" customFormat="1" ht="12.75">
      <c r="A41" s="34" t="s">
        <v>107</v>
      </c>
      <c r="B41" s="35" t="s">
        <v>117</v>
      </c>
      <c r="C41" s="36" t="s">
        <v>118</v>
      </c>
      <c r="D41" s="37">
        <v>364.87</v>
      </c>
      <c r="E41" s="37"/>
      <c r="F41" s="37">
        <v>418.86</v>
      </c>
      <c r="G41" s="37">
        <v>372.32</v>
      </c>
      <c r="H41" s="37"/>
      <c r="I41" s="38">
        <v>1316</v>
      </c>
      <c r="J41" s="52"/>
    </row>
    <row r="42" spans="1:10" s="28" customFormat="1" ht="12.75">
      <c r="A42" s="34" t="s">
        <v>110</v>
      </c>
      <c r="B42" s="35" t="s">
        <v>120</v>
      </c>
      <c r="C42" s="36" t="s">
        <v>121</v>
      </c>
      <c r="D42" s="37">
        <v>178.51</v>
      </c>
      <c r="E42" s="37"/>
      <c r="F42" s="37"/>
      <c r="G42" s="37">
        <v>309.12</v>
      </c>
      <c r="H42" s="37"/>
      <c r="I42" s="38">
        <v>250</v>
      </c>
      <c r="J42" s="52"/>
    </row>
    <row r="43" spans="1:10" s="28" customFormat="1" ht="12.75">
      <c r="A43" s="34" t="s">
        <v>113</v>
      </c>
      <c r="B43" s="35" t="s">
        <v>123</v>
      </c>
      <c r="C43" s="36" t="s">
        <v>124</v>
      </c>
      <c r="D43" s="37">
        <v>104.56</v>
      </c>
      <c r="E43" s="37"/>
      <c r="F43" s="37"/>
      <c r="G43" s="37">
        <v>217.84</v>
      </c>
      <c r="H43" s="37"/>
      <c r="I43" s="38"/>
      <c r="J43" s="52"/>
    </row>
    <row r="44" spans="1:10" s="28" customFormat="1" ht="12.75">
      <c r="A44" s="34" t="s">
        <v>116</v>
      </c>
      <c r="B44" s="35" t="s">
        <v>126</v>
      </c>
      <c r="C44" s="36" t="s">
        <v>127</v>
      </c>
      <c r="D44" s="37">
        <v>537.72</v>
      </c>
      <c r="E44" s="37">
        <v>288.06</v>
      </c>
      <c r="F44" s="37"/>
      <c r="G44" s="37">
        <v>384.08</v>
      </c>
      <c r="H44" s="37"/>
      <c r="I44" s="38">
        <v>250</v>
      </c>
      <c r="J44" s="52"/>
    </row>
    <row r="45" spans="1:10" s="28" customFormat="1" ht="12.75">
      <c r="A45" s="34" t="s">
        <v>119</v>
      </c>
      <c r="B45" s="35" t="s">
        <v>129</v>
      </c>
      <c r="C45" s="36" t="s">
        <v>130</v>
      </c>
      <c r="D45" s="37">
        <v>534.78</v>
      </c>
      <c r="E45" s="37">
        <v>774.3</v>
      </c>
      <c r="F45" s="37"/>
      <c r="G45" s="37">
        <v>412.96</v>
      </c>
      <c r="H45" s="37"/>
      <c r="I45" s="38">
        <v>250</v>
      </c>
      <c r="J45" s="52"/>
    </row>
    <row r="46" spans="1:10" s="28" customFormat="1" ht="12.75">
      <c r="A46" s="34" t="s">
        <v>122</v>
      </c>
      <c r="B46" s="35" t="s">
        <v>132</v>
      </c>
      <c r="C46" s="36" t="s">
        <v>133</v>
      </c>
      <c r="D46" s="37"/>
      <c r="E46" s="37"/>
      <c r="F46" s="37"/>
      <c r="G46" s="37">
        <v>366.64</v>
      </c>
      <c r="H46" s="37"/>
      <c r="I46" s="38">
        <v>810</v>
      </c>
      <c r="J46" s="52"/>
    </row>
    <row r="47" spans="1:10" s="28" customFormat="1" ht="12.75">
      <c r="A47" s="34" t="s">
        <v>125</v>
      </c>
      <c r="B47" s="35" t="s">
        <v>135</v>
      </c>
      <c r="C47" s="36" t="s">
        <v>136</v>
      </c>
      <c r="D47" s="37"/>
      <c r="E47" s="37"/>
      <c r="F47" s="37"/>
      <c r="G47" s="37">
        <v>330.72</v>
      </c>
      <c r="H47" s="37"/>
      <c r="I47" s="38">
        <v>250</v>
      </c>
      <c r="J47" s="52"/>
    </row>
    <row r="48" spans="1:10" s="28" customFormat="1" ht="12.75">
      <c r="A48" s="34" t="s">
        <v>128</v>
      </c>
      <c r="B48" s="35" t="s">
        <v>138</v>
      </c>
      <c r="C48" s="36" t="s">
        <v>139</v>
      </c>
      <c r="D48" s="37"/>
      <c r="E48" s="37"/>
      <c r="F48" s="37"/>
      <c r="G48" s="37">
        <v>361.76</v>
      </c>
      <c r="H48" s="37"/>
      <c r="I48" s="38">
        <v>250</v>
      </c>
      <c r="J48" s="52"/>
    </row>
    <row r="49" spans="1:10" s="28" customFormat="1" ht="12.75">
      <c r="A49" s="34" t="s">
        <v>131</v>
      </c>
      <c r="B49" s="35" t="s">
        <v>141</v>
      </c>
      <c r="C49" s="36" t="s">
        <v>142</v>
      </c>
      <c r="D49" s="37"/>
      <c r="E49" s="37"/>
      <c r="F49" s="37"/>
      <c r="G49" s="37">
        <v>316.64</v>
      </c>
      <c r="H49" s="37"/>
      <c r="I49" s="38">
        <v>1060</v>
      </c>
      <c r="J49" s="52"/>
    </row>
    <row r="50" spans="1:10" s="28" customFormat="1" ht="12.75">
      <c r="A50" s="34" t="s">
        <v>134</v>
      </c>
      <c r="B50" s="35" t="s">
        <v>145</v>
      </c>
      <c r="C50" s="36" t="s">
        <v>146</v>
      </c>
      <c r="D50" s="37"/>
      <c r="E50" s="37"/>
      <c r="F50" s="37"/>
      <c r="G50" s="37">
        <v>365.04</v>
      </c>
      <c r="H50" s="37"/>
      <c r="I50" s="38">
        <v>250</v>
      </c>
      <c r="J50" s="52"/>
    </row>
    <row r="51" spans="1:10" s="28" customFormat="1" ht="12.75">
      <c r="A51" s="34" t="s">
        <v>137</v>
      </c>
      <c r="B51" s="35" t="s">
        <v>148</v>
      </c>
      <c r="C51" s="36" t="s">
        <v>149</v>
      </c>
      <c r="D51" s="37">
        <v>82.32</v>
      </c>
      <c r="E51" s="37"/>
      <c r="F51" s="37"/>
      <c r="G51" s="37">
        <v>313.6</v>
      </c>
      <c r="H51" s="37"/>
      <c r="I51" s="38">
        <v>810</v>
      </c>
      <c r="J51" s="52"/>
    </row>
    <row r="52" spans="1:10" s="28" customFormat="1" ht="12.75">
      <c r="A52" s="34" t="s">
        <v>140</v>
      </c>
      <c r="B52" s="35" t="s">
        <v>151</v>
      </c>
      <c r="C52" s="36" t="s">
        <v>152</v>
      </c>
      <c r="D52" s="37"/>
      <c r="E52" s="37"/>
      <c r="F52" s="37"/>
      <c r="G52" s="37">
        <v>312.16</v>
      </c>
      <c r="H52" s="37"/>
      <c r="I52" s="38">
        <v>650</v>
      </c>
      <c r="J52" s="52"/>
    </row>
    <row r="53" spans="1:10" s="28" customFormat="1" ht="12.75">
      <c r="A53" s="34" t="s">
        <v>143</v>
      </c>
      <c r="B53" s="35" t="s">
        <v>154</v>
      </c>
      <c r="C53" s="36" t="s">
        <v>155</v>
      </c>
      <c r="D53" s="37"/>
      <c r="E53" s="37"/>
      <c r="F53" s="37"/>
      <c r="G53" s="37">
        <v>316.64</v>
      </c>
      <c r="H53" s="37"/>
      <c r="I53" s="38">
        <v>810</v>
      </c>
      <c r="J53" s="52"/>
    </row>
    <row r="54" spans="1:10" s="28" customFormat="1" ht="12.75">
      <c r="A54" s="34" t="s">
        <v>144</v>
      </c>
      <c r="B54" s="35" t="s">
        <v>158</v>
      </c>
      <c r="C54" s="36" t="s">
        <v>159</v>
      </c>
      <c r="D54" s="37"/>
      <c r="E54" s="37"/>
      <c r="F54" s="37"/>
      <c r="G54" s="37">
        <v>361.76</v>
      </c>
      <c r="H54" s="37"/>
      <c r="I54" s="38">
        <v>810</v>
      </c>
      <c r="J54" s="52"/>
    </row>
    <row r="55" spans="1:10" s="28" customFormat="1" ht="12.75">
      <c r="A55" s="34" t="s">
        <v>147</v>
      </c>
      <c r="B55" s="35" t="s">
        <v>162</v>
      </c>
      <c r="C55" s="36" t="s">
        <v>163</v>
      </c>
      <c r="D55" s="37"/>
      <c r="E55" s="37"/>
      <c r="F55" s="37"/>
      <c r="G55" s="37">
        <v>122.43</v>
      </c>
      <c r="H55" s="37"/>
      <c r="I55" s="38">
        <v>600</v>
      </c>
      <c r="J55" s="52"/>
    </row>
    <row r="56" spans="1:10" s="28" customFormat="1" ht="12.75">
      <c r="A56" s="34" t="s">
        <v>150</v>
      </c>
      <c r="B56" s="35" t="s">
        <v>165</v>
      </c>
      <c r="C56" s="36" t="s">
        <v>166</v>
      </c>
      <c r="D56" s="37"/>
      <c r="E56" s="37"/>
      <c r="F56" s="37"/>
      <c r="G56" s="37">
        <v>72.35</v>
      </c>
      <c r="H56" s="37"/>
      <c r="I56" s="38"/>
      <c r="J56" s="52"/>
    </row>
    <row r="57" spans="1:10" s="28" customFormat="1" ht="12.75">
      <c r="A57" s="34" t="s">
        <v>153</v>
      </c>
      <c r="B57" s="35" t="s">
        <v>168</v>
      </c>
      <c r="C57" s="36" t="s">
        <v>169</v>
      </c>
      <c r="D57" s="37"/>
      <c r="E57" s="37"/>
      <c r="F57" s="37"/>
      <c r="G57" s="37">
        <v>65.86</v>
      </c>
      <c r="H57" s="37"/>
      <c r="I57" s="38">
        <v>710</v>
      </c>
      <c r="J57" s="52"/>
    </row>
    <row r="58" spans="1:10" s="28" customFormat="1" ht="12.75">
      <c r="A58" s="34" t="s">
        <v>156</v>
      </c>
      <c r="B58" s="35" t="s">
        <v>171</v>
      </c>
      <c r="C58" s="36" t="s">
        <v>172</v>
      </c>
      <c r="D58" s="37"/>
      <c r="E58" s="37">
        <v>687.6</v>
      </c>
      <c r="F58" s="37"/>
      <c r="G58" s="37">
        <v>270.48</v>
      </c>
      <c r="H58" s="37"/>
      <c r="I58" s="38">
        <v>650</v>
      </c>
      <c r="J58" s="52"/>
    </row>
    <row r="59" spans="1:10" s="28" customFormat="1" ht="12.75">
      <c r="A59" s="34" t="s">
        <v>157</v>
      </c>
      <c r="B59" s="35" t="s">
        <v>174</v>
      </c>
      <c r="C59" s="36" t="s">
        <v>175</v>
      </c>
      <c r="D59" s="37"/>
      <c r="E59" s="37"/>
      <c r="F59" s="37"/>
      <c r="G59" s="37">
        <v>246.64</v>
      </c>
      <c r="H59" s="37"/>
      <c r="I59" s="38"/>
      <c r="J59" s="52"/>
    </row>
    <row r="60" spans="1:10" s="28" customFormat="1" ht="12.75">
      <c r="A60" s="34" t="s">
        <v>160</v>
      </c>
      <c r="B60" s="35" t="s">
        <v>177</v>
      </c>
      <c r="C60" s="36" t="s">
        <v>178</v>
      </c>
      <c r="D60" s="37"/>
      <c r="E60" s="37"/>
      <c r="F60" s="37"/>
      <c r="G60" s="37"/>
      <c r="H60" s="37"/>
      <c r="I60" s="38"/>
      <c r="J60" s="52"/>
    </row>
    <row r="61" spans="1:10" s="28" customFormat="1" ht="12.75">
      <c r="A61" s="34" t="s">
        <v>161</v>
      </c>
      <c r="B61" s="35" t="s">
        <v>180</v>
      </c>
      <c r="C61" s="36" t="s">
        <v>181</v>
      </c>
      <c r="D61" s="37"/>
      <c r="E61" s="37"/>
      <c r="F61" s="37"/>
      <c r="G61" s="37">
        <v>160.88</v>
      </c>
      <c r="H61" s="37"/>
      <c r="I61" s="38">
        <v>250</v>
      </c>
      <c r="J61" s="52"/>
    </row>
    <row r="62" spans="1:10" s="28" customFormat="1" ht="12.75">
      <c r="A62" s="34" t="s">
        <v>164</v>
      </c>
      <c r="B62" s="35" t="s">
        <v>183</v>
      </c>
      <c r="C62" s="36" t="s">
        <v>184</v>
      </c>
      <c r="D62" s="37"/>
      <c r="E62" s="37"/>
      <c r="F62" s="37"/>
      <c r="G62" s="37"/>
      <c r="H62" s="37"/>
      <c r="I62" s="38"/>
      <c r="J62" s="52"/>
    </row>
    <row r="63" spans="1:10" s="28" customFormat="1" ht="12.75">
      <c r="A63" s="34" t="s">
        <v>167</v>
      </c>
      <c r="B63" s="35" t="s">
        <v>186</v>
      </c>
      <c r="C63" s="36" t="s">
        <v>187</v>
      </c>
      <c r="D63" s="37"/>
      <c r="E63" s="37"/>
      <c r="F63" s="37"/>
      <c r="G63" s="37">
        <v>77.2</v>
      </c>
      <c r="H63" s="37"/>
      <c r="I63" s="38"/>
      <c r="J63" s="52"/>
    </row>
    <row r="64" spans="1:10" s="28" customFormat="1" ht="12.75">
      <c r="A64" s="34" t="s">
        <v>170</v>
      </c>
      <c r="B64" s="35" t="s">
        <v>189</v>
      </c>
      <c r="C64" s="36" t="s">
        <v>190</v>
      </c>
      <c r="D64" s="37"/>
      <c r="E64" s="37"/>
      <c r="F64" s="37"/>
      <c r="G64" s="37">
        <v>163.92</v>
      </c>
      <c r="H64" s="37"/>
      <c r="I64" s="38">
        <v>250</v>
      </c>
      <c r="J64" s="52"/>
    </row>
    <row r="65" spans="1:10" s="28" customFormat="1" ht="12.75">
      <c r="A65" s="34" t="s">
        <v>173</v>
      </c>
      <c r="B65" s="35" t="s">
        <v>192</v>
      </c>
      <c r="C65" s="36" t="s">
        <v>193</v>
      </c>
      <c r="D65" s="37"/>
      <c r="E65" s="37"/>
      <c r="F65" s="37"/>
      <c r="G65" s="37">
        <v>156.64</v>
      </c>
      <c r="H65" s="37"/>
      <c r="I65" s="38">
        <v>250</v>
      </c>
      <c r="J65" s="52"/>
    </row>
    <row r="66" spans="1:10" s="28" customFormat="1" ht="12.75">
      <c r="A66" s="34" t="s">
        <v>176</v>
      </c>
      <c r="B66" s="35" t="s">
        <v>195</v>
      </c>
      <c r="C66" s="36" t="s">
        <v>196</v>
      </c>
      <c r="D66" s="37"/>
      <c r="E66" s="37"/>
      <c r="F66" s="37"/>
      <c r="G66" s="37">
        <v>154.32</v>
      </c>
      <c r="H66" s="37"/>
      <c r="I66" s="38">
        <v>250</v>
      </c>
      <c r="J66" s="52"/>
    </row>
    <row r="67" spans="1:10" s="28" customFormat="1" ht="12.75">
      <c r="A67" s="34" t="s">
        <v>179</v>
      </c>
      <c r="B67" s="35" t="s">
        <v>198</v>
      </c>
      <c r="C67" s="36" t="s">
        <v>199</v>
      </c>
      <c r="D67" s="37"/>
      <c r="E67" s="37"/>
      <c r="F67" s="37"/>
      <c r="G67" s="37">
        <v>157.36</v>
      </c>
      <c r="H67" s="37"/>
      <c r="I67" s="38">
        <v>600</v>
      </c>
      <c r="J67" s="52"/>
    </row>
    <row r="68" spans="1:10" s="28" customFormat="1" ht="12.75">
      <c r="A68" s="34" t="s">
        <v>182</v>
      </c>
      <c r="B68" s="35" t="s">
        <v>201</v>
      </c>
      <c r="C68" s="36" t="s">
        <v>202</v>
      </c>
      <c r="D68" s="37"/>
      <c r="E68" s="37"/>
      <c r="F68" s="37"/>
      <c r="G68" s="37"/>
      <c r="H68" s="37"/>
      <c r="I68" s="38"/>
      <c r="J68" s="52"/>
    </row>
    <row r="69" spans="1:10" s="28" customFormat="1" ht="12.75">
      <c r="A69" s="34" t="s">
        <v>185</v>
      </c>
      <c r="B69" s="35" t="s">
        <v>204</v>
      </c>
      <c r="C69" s="36" t="s">
        <v>205</v>
      </c>
      <c r="D69" s="37"/>
      <c r="E69" s="37"/>
      <c r="F69" s="37"/>
      <c r="G69" s="37">
        <v>206.72</v>
      </c>
      <c r="H69" s="37"/>
      <c r="I69" s="38">
        <v>850</v>
      </c>
      <c r="J69" s="52"/>
    </row>
    <row r="70" spans="1:10" s="28" customFormat="1" ht="12.75">
      <c r="A70" s="34" t="s">
        <v>188</v>
      </c>
      <c r="B70" s="35" t="s">
        <v>207</v>
      </c>
      <c r="C70" s="36" t="s">
        <v>208</v>
      </c>
      <c r="D70" s="37"/>
      <c r="E70" s="37"/>
      <c r="F70" s="37"/>
      <c r="G70" s="37">
        <v>160.88</v>
      </c>
      <c r="H70" s="37"/>
      <c r="I70" s="38">
        <v>250</v>
      </c>
      <c r="J70" s="52"/>
    </row>
    <row r="71" spans="1:10" s="28" customFormat="1" ht="13.5" thickBot="1">
      <c r="A71" s="40" t="s">
        <v>191</v>
      </c>
      <c r="B71" s="41" t="s">
        <v>210</v>
      </c>
      <c r="C71" s="42" t="s">
        <v>211</v>
      </c>
      <c r="D71" s="43"/>
      <c r="E71" s="43"/>
      <c r="F71" s="43"/>
      <c r="G71" s="43">
        <v>326.24</v>
      </c>
      <c r="H71" s="43"/>
      <c r="I71" s="44">
        <v>250</v>
      </c>
      <c r="J71" s="53"/>
    </row>
    <row r="72" spans="1:10" s="28" customFormat="1" ht="13.5" thickBot="1">
      <c r="A72" s="45" t="s">
        <v>194</v>
      </c>
      <c r="B72" s="46" t="s">
        <v>213</v>
      </c>
      <c r="C72" s="47" t="s">
        <v>214</v>
      </c>
      <c r="D72" s="48"/>
      <c r="E72" s="48"/>
      <c r="F72" s="48"/>
      <c r="G72" s="48">
        <v>310.56</v>
      </c>
      <c r="H72" s="48">
        <v>675.39</v>
      </c>
      <c r="I72" s="49"/>
      <c r="J72" s="50"/>
    </row>
    <row r="73" spans="1:10" s="28" customFormat="1" ht="13.5" thickBot="1">
      <c r="A73" s="45" t="s">
        <v>197</v>
      </c>
      <c r="B73" s="46" t="s">
        <v>216</v>
      </c>
      <c r="C73" s="47" t="s">
        <v>217</v>
      </c>
      <c r="D73" s="48"/>
      <c r="E73" s="48"/>
      <c r="F73" s="48"/>
      <c r="G73" s="48">
        <v>312.16</v>
      </c>
      <c r="H73" s="48"/>
      <c r="I73" s="49">
        <v>250</v>
      </c>
      <c r="J73" s="50"/>
    </row>
    <row r="74" spans="1:10" s="28" customFormat="1" ht="12.75">
      <c r="A74" s="29" t="s">
        <v>200</v>
      </c>
      <c r="B74" s="30" t="s">
        <v>221</v>
      </c>
      <c r="C74" s="31" t="s">
        <v>222</v>
      </c>
      <c r="D74" s="32">
        <v>374.95</v>
      </c>
      <c r="E74" s="32"/>
      <c r="F74" s="32"/>
      <c r="G74" s="32">
        <v>306.08</v>
      </c>
      <c r="H74" s="32"/>
      <c r="I74" s="33">
        <v>1950</v>
      </c>
      <c r="J74" s="51"/>
    </row>
    <row r="75" spans="1:10" s="28" customFormat="1" ht="12.75">
      <c r="A75" s="34" t="s">
        <v>203</v>
      </c>
      <c r="B75" s="35" t="s">
        <v>224</v>
      </c>
      <c r="C75" s="36" t="s">
        <v>225</v>
      </c>
      <c r="D75" s="37"/>
      <c r="E75" s="37"/>
      <c r="F75" s="37"/>
      <c r="G75" s="37"/>
      <c r="H75" s="37"/>
      <c r="I75" s="38">
        <v>810</v>
      </c>
      <c r="J75" s="52"/>
    </row>
    <row r="76" spans="1:10" s="28" customFormat="1" ht="12.75">
      <c r="A76" s="34" t="s">
        <v>206</v>
      </c>
      <c r="B76" s="35" t="s">
        <v>227</v>
      </c>
      <c r="C76" s="36" t="s">
        <v>228</v>
      </c>
      <c r="D76" s="37"/>
      <c r="E76" s="37"/>
      <c r="F76" s="37"/>
      <c r="G76" s="37"/>
      <c r="H76" s="37"/>
      <c r="I76" s="38">
        <v>250</v>
      </c>
      <c r="J76" s="52"/>
    </row>
    <row r="77" spans="1:10" s="28" customFormat="1" ht="12.75">
      <c r="A77" s="34" t="s">
        <v>209</v>
      </c>
      <c r="B77" s="35" t="s">
        <v>230</v>
      </c>
      <c r="C77" s="36" t="s">
        <v>231</v>
      </c>
      <c r="D77" s="37"/>
      <c r="E77" s="37"/>
      <c r="F77" s="37"/>
      <c r="G77" s="37"/>
      <c r="H77" s="37"/>
      <c r="I77" s="38">
        <v>250</v>
      </c>
      <c r="J77" s="52"/>
    </row>
    <row r="78" spans="1:10" s="28" customFormat="1" ht="12.75">
      <c r="A78" s="34" t="s">
        <v>212</v>
      </c>
      <c r="B78" s="35" t="s">
        <v>232</v>
      </c>
      <c r="C78" s="36" t="s">
        <v>233</v>
      </c>
      <c r="D78" s="37"/>
      <c r="E78" s="37"/>
      <c r="F78" s="37"/>
      <c r="G78" s="37">
        <v>146.66</v>
      </c>
      <c r="H78" s="37"/>
      <c r="I78" s="38">
        <v>250</v>
      </c>
      <c r="J78" s="52"/>
    </row>
    <row r="79" spans="1:10" s="28" customFormat="1" ht="12.75">
      <c r="A79" s="34" t="s">
        <v>215</v>
      </c>
      <c r="B79" s="35" t="s">
        <v>234</v>
      </c>
      <c r="C79" s="36" t="s">
        <v>235</v>
      </c>
      <c r="D79" s="37"/>
      <c r="E79" s="37"/>
      <c r="F79" s="37"/>
      <c r="G79" s="37"/>
      <c r="H79" s="37"/>
      <c r="I79" s="38"/>
      <c r="J79" s="52"/>
    </row>
    <row r="80" spans="1:10" s="28" customFormat="1" ht="12.75">
      <c r="A80" s="34" t="s">
        <v>218</v>
      </c>
      <c r="B80" s="35" t="s">
        <v>236</v>
      </c>
      <c r="C80" s="36" t="s">
        <v>237</v>
      </c>
      <c r="D80" s="37"/>
      <c r="E80" s="37"/>
      <c r="F80" s="37"/>
      <c r="G80" s="37">
        <v>77.48</v>
      </c>
      <c r="H80" s="37"/>
      <c r="I80" s="38"/>
      <c r="J80" s="52"/>
    </row>
    <row r="81" spans="1:10" s="28" customFormat="1" ht="12.75">
      <c r="A81" s="34" t="s">
        <v>219</v>
      </c>
      <c r="B81" s="35" t="s">
        <v>240</v>
      </c>
      <c r="C81" s="36" t="s">
        <v>241</v>
      </c>
      <c r="D81" s="37"/>
      <c r="E81" s="37"/>
      <c r="F81" s="37"/>
      <c r="G81" s="37">
        <v>248.96</v>
      </c>
      <c r="H81" s="37"/>
      <c r="I81" s="38">
        <v>752</v>
      </c>
      <c r="J81" s="52"/>
    </row>
    <row r="82" spans="1:10" s="28" customFormat="1" ht="12.75">
      <c r="A82" s="34" t="s">
        <v>220</v>
      </c>
      <c r="B82" s="35" t="s">
        <v>242</v>
      </c>
      <c r="C82" s="36" t="s">
        <v>243</v>
      </c>
      <c r="D82" s="37"/>
      <c r="E82" s="37"/>
      <c r="F82" s="37"/>
      <c r="G82" s="37">
        <v>70.48</v>
      </c>
      <c r="H82" s="37"/>
      <c r="I82" s="38">
        <v>1200</v>
      </c>
      <c r="J82" s="52"/>
    </row>
    <row r="83" spans="1:10" s="28" customFormat="1" ht="12.75">
      <c r="A83" s="34" t="s">
        <v>223</v>
      </c>
      <c r="B83" s="35" t="s">
        <v>244</v>
      </c>
      <c r="C83" s="36" t="s">
        <v>245</v>
      </c>
      <c r="D83" s="37"/>
      <c r="E83" s="37"/>
      <c r="F83" s="37"/>
      <c r="G83" s="37">
        <v>312.16</v>
      </c>
      <c r="H83" s="37">
        <v>233.19</v>
      </c>
      <c r="I83" s="38">
        <v>810</v>
      </c>
      <c r="J83" s="52"/>
    </row>
    <row r="84" spans="1:10" s="28" customFormat="1" ht="12.75">
      <c r="A84" s="34" t="s">
        <v>226</v>
      </c>
      <c r="B84" s="35" t="s">
        <v>246</v>
      </c>
      <c r="C84" s="36" t="s">
        <v>247</v>
      </c>
      <c r="D84" s="37"/>
      <c r="E84" s="37"/>
      <c r="F84" s="37"/>
      <c r="G84" s="37">
        <v>315.2</v>
      </c>
      <c r="H84" s="37"/>
      <c r="I84" s="38">
        <v>600</v>
      </c>
      <c r="J84" s="52"/>
    </row>
    <row r="85" spans="1:10" s="28" customFormat="1" ht="13.5" thickBot="1">
      <c r="A85" s="34" t="s">
        <v>229</v>
      </c>
      <c r="B85" s="35" t="s">
        <v>248</v>
      </c>
      <c r="C85" s="36" t="s">
        <v>249</v>
      </c>
      <c r="D85" s="37"/>
      <c r="E85" s="37"/>
      <c r="F85" s="37"/>
      <c r="G85" s="37">
        <v>309.6</v>
      </c>
      <c r="H85" s="37"/>
      <c r="I85" s="38">
        <v>600</v>
      </c>
      <c r="J85" s="52"/>
    </row>
    <row r="86" spans="1:10" ht="19.5" thickBot="1">
      <c r="A86" s="7"/>
      <c r="B86" s="9" t="s">
        <v>238</v>
      </c>
      <c r="C86" s="8"/>
      <c r="D86" s="12">
        <f aca="true" t="shared" si="0" ref="D86:I86">SUM(D6:D85)</f>
        <v>6875.03</v>
      </c>
      <c r="E86" s="12">
        <f t="shared" si="0"/>
        <v>3315.12</v>
      </c>
      <c r="F86" s="12">
        <f t="shared" si="0"/>
        <v>989.2800000000001</v>
      </c>
      <c r="G86" s="12">
        <f t="shared" si="0"/>
        <v>20288.859999999997</v>
      </c>
      <c r="H86" s="12">
        <f t="shared" si="0"/>
        <v>4159.84</v>
      </c>
      <c r="I86" s="18">
        <f t="shared" si="0"/>
        <v>32456</v>
      </c>
      <c r="J86" s="6"/>
    </row>
  </sheetData>
  <sheetProtection/>
  <printOptions/>
  <pageMargins left="0.7" right="0.7" top="0.75" bottom="0.75" header="0.3" footer="0.3"/>
  <pageSetup horizontalDpi="1200" verticalDpi="1200" orientation="landscape" paperSize="9" scale="67" r:id="rId1"/>
  <rowBreaks count="2" manualBreakCount="2">
    <brk id="37" max="255" man="1"/>
    <brk id="7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N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22" sqref="K22"/>
    </sheetView>
  </sheetViews>
  <sheetFormatPr defaultColWidth="9.140625" defaultRowHeight="15"/>
  <cols>
    <col min="1" max="1" width="3.421875" style="28" customWidth="1"/>
    <col min="2" max="2" width="20.421875" style="28" customWidth="1"/>
    <col min="3" max="3" width="4.57421875" style="28" customWidth="1"/>
    <col min="4" max="4" width="6.7109375" style="156" customWidth="1"/>
    <col min="5" max="5" width="10.00390625" style="238" customWidth="1"/>
    <col min="6" max="8" width="12.57421875" style="28" customWidth="1"/>
    <col min="9" max="9" width="13.7109375" style="28" customWidth="1"/>
    <col min="10" max="10" width="14.28125" style="28" customWidth="1"/>
    <col min="11" max="11" width="11.7109375" style="28" customWidth="1"/>
    <col min="12" max="12" width="8.8515625" style="105" customWidth="1"/>
    <col min="13" max="13" width="13.7109375" style="116" customWidth="1"/>
    <col min="14" max="14" width="8.421875" style="115" customWidth="1"/>
    <col min="15" max="16384" width="9.140625" style="28" customWidth="1"/>
  </cols>
  <sheetData>
    <row r="2" spans="1:2" ht="12.75">
      <c r="A2" s="278" t="s">
        <v>404</v>
      </c>
      <c r="B2" s="279"/>
    </row>
    <row r="3" ht="11.25" customHeight="1">
      <c r="E3" s="237"/>
    </row>
    <row r="4" spans="1:14" s="297" customFormat="1" ht="37.5" customHeight="1">
      <c r="A4" s="290" t="s">
        <v>292</v>
      </c>
      <c r="B4" s="290" t="s">
        <v>17</v>
      </c>
      <c r="C4" s="290" t="s">
        <v>254</v>
      </c>
      <c r="D4" s="291" t="s">
        <v>290</v>
      </c>
      <c r="E4" s="292" t="s">
        <v>392</v>
      </c>
      <c r="F4" s="293" t="s">
        <v>396</v>
      </c>
      <c r="G4" s="294" t="s">
        <v>397</v>
      </c>
      <c r="H4" s="290" t="s">
        <v>398</v>
      </c>
      <c r="I4" s="293" t="s">
        <v>402</v>
      </c>
      <c r="J4" s="290" t="s">
        <v>400</v>
      </c>
      <c r="K4" s="290" t="s">
        <v>401</v>
      </c>
      <c r="L4" s="295" t="s">
        <v>270</v>
      </c>
      <c r="M4" s="290" t="s">
        <v>280</v>
      </c>
      <c r="N4" s="296"/>
    </row>
    <row r="5" spans="1:13" ht="12.75">
      <c r="A5" s="39" t="s">
        <v>1</v>
      </c>
      <c r="B5" s="35" t="s">
        <v>29</v>
      </c>
      <c r="C5" s="36" t="s">
        <v>31</v>
      </c>
      <c r="D5" s="233">
        <v>1.649</v>
      </c>
      <c r="E5" s="244">
        <f aca="true" t="shared" si="0" ref="E5:E48">D5*5108.84/174</f>
        <v>48.416535402298855</v>
      </c>
      <c r="F5" s="37"/>
      <c r="G5" s="37"/>
      <c r="H5" s="37"/>
      <c r="I5" s="37"/>
      <c r="J5" s="37"/>
      <c r="K5" s="37"/>
      <c r="L5" s="100" t="s">
        <v>271</v>
      </c>
      <c r="M5" s="118">
        <v>3204010046</v>
      </c>
    </row>
    <row r="6" spans="1:13" ht="12.75">
      <c r="A6" s="39" t="s">
        <v>2</v>
      </c>
      <c r="B6" s="35" t="s">
        <v>33</v>
      </c>
      <c r="C6" s="36" t="s">
        <v>32</v>
      </c>
      <c r="D6" s="233">
        <v>1.585</v>
      </c>
      <c r="E6" s="244">
        <f t="shared" si="0"/>
        <v>46.53742183908046</v>
      </c>
      <c r="F6" s="37"/>
      <c r="G6" s="37"/>
      <c r="H6" s="37"/>
      <c r="I6" s="37"/>
      <c r="J6" s="37"/>
      <c r="K6" s="37"/>
      <c r="L6" s="100" t="s">
        <v>271</v>
      </c>
      <c r="M6" s="118">
        <v>3204009691</v>
      </c>
    </row>
    <row r="7" spans="1:13" ht="12.75">
      <c r="A7" s="39" t="s">
        <v>3</v>
      </c>
      <c r="B7" s="35" t="s">
        <v>34</v>
      </c>
      <c r="C7" s="36" t="s">
        <v>35</v>
      </c>
      <c r="D7" s="233">
        <v>1.565</v>
      </c>
      <c r="E7" s="244">
        <f t="shared" si="0"/>
        <v>45.950198850574715</v>
      </c>
      <c r="F7" s="37"/>
      <c r="G7" s="37"/>
      <c r="H7" s="37"/>
      <c r="I7" s="37"/>
      <c r="J7" s="37"/>
      <c r="K7" s="37"/>
      <c r="L7" s="100" t="s">
        <v>272</v>
      </c>
      <c r="M7" s="118">
        <v>3220485615</v>
      </c>
    </row>
    <row r="8" spans="1:13" ht="12.75">
      <c r="A8" s="39" t="s">
        <v>4</v>
      </c>
      <c r="B8" s="35" t="s">
        <v>36</v>
      </c>
      <c r="C8" s="36" t="s">
        <v>37</v>
      </c>
      <c r="D8" s="233">
        <v>1.656</v>
      </c>
      <c r="E8" s="244">
        <f t="shared" si="0"/>
        <v>48.62206344827587</v>
      </c>
      <c r="F8" s="37"/>
      <c r="G8" s="37"/>
      <c r="H8" s="37"/>
      <c r="I8" s="37"/>
      <c r="J8" s="37"/>
      <c r="K8" s="37"/>
      <c r="L8" s="100" t="s">
        <v>271</v>
      </c>
      <c r="M8" s="118">
        <v>3204010214</v>
      </c>
    </row>
    <row r="9" spans="1:13" ht="12.75">
      <c r="A9" s="39" t="s">
        <v>5</v>
      </c>
      <c r="B9" s="35" t="s">
        <v>38</v>
      </c>
      <c r="C9" s="36" t="s">
        <v>39</v>
      </c>
      <c r="D9" s="233">
        <v>1.635</v>
      </c>
      <c r="E9" s="244">
        <f t="shared" si="0"/>
        <v>48.00547931034483</v>
      </c>
      <c r="F9" s="37"/>
      <c r="G9" s="37"/>
      <c r="H9" s="37"/>
      <c r="I9" s="37"/>
      <c r="J9" s="37"/>
      <c r="K9" s="37"/>
      <c r="L9" s="100" t="s">
        <v>271</v>
      </c>
      <c r="M9" s="118">
        <v>3204010327</v>
      </c>
    </row>
    <row r="10" spans="1:13" ht="12.75">
      <c r="A10" s="39" t="s">
        <v>6</v>
      </c>
      <c r="B10" s="35" t="s">
        <v>40</v>
      </c>
      <c r="C10" s="36" t="s">
        <v>41</v>
      </c>
      <c r="D10" s="233">
        <v>1.425</v>
      </c>
      <c r="E10" s="244">
        <f t="shared" si="0"/>
        <v>41.83963793103449</v>
      </c>
      <c r="F10" s="37"/>
      <c r="G10" s="37"/>
      <c r="H10" s="37"/>
      <c r="I10" s="37"/>
      <c r="J10" s="37"/>
      <c r="K10" s="37"/>
      <c r="L10" s="100" t="s">
        <v>271</v>
      </c>
      <c r="M10" s="118">
        <v>3204017738</v>
      </c>
    </row>
    <row r="11" spans="1:13" ht="12.75">
      <c r="A11" s="39" t="s">
        <v>7</v>
      </c>
      <c r="B11" s="35" t="s">
        <v>42</v>
      </c>
      <c r="C11" s="36" t="s">
        <v>43</v>
      </c>
      <c r="D11" s="233">
        <v>1.677</v>
      </c>
      <c r="E11" s="244">
        <f t="shared" si="0"/>
        <v>49.2386475862069</v>
      </c>
      <c r="F11" s="37"/>
      <c r="G11" s="37"/>
      <c r="H11" s="37"/>
      <c r="I11" s="37"/>
      <c r="J11" s="37"/>
      <c r="K11" s="37"/>
      <c r="L11" s="100" t="s">
        <v>271</v>
      </c>
      <c r="M11" s="118">
        <v>3204010476</v>
      </c>
    </row>
    <row r="12" spans="1:13" ht="12.75">
      <c r="A12" s="39" t="s">
        <v>8</v>
      </c>
      <c r="B12" s="35" t="s">
        <v>44</v>
      </c>
      <c r="C12" s="36" t="s">
        <v>45</v>
      </c>
      <c r="D12" s="233">
        <v>1.464</v>
      </c>
      <c r="E12" s="244">
        <f t="shared" si="0"/>
        <v>42.98472275862069</v>
      </c>
      <c r="F12" s="37"/>
      <c r="G12" s="37"/>
      <c r="H12" s="37"/>
      <c r="I12" s="37"/>
      <c r="J12" s="37"/>
      <c r="K12" s="37"/>
      <c r="L12" s="100" t="s">
        <v>271</v>
      </c>
      <c r="M12" s="118">
        <v>3204010484</v>
      </c>
    </row>
    <row r="13" spans="1:13" ht="12.75">
      <c r="A13" s="39" t="s">
        <v>9</v>
      </c>
      <c r="B13" s="35" t="s">
        <v>47</v>
      </c>
      <c r="C13" s="36" t="s">
        <v>48</v>
      </c>
      <c r="D13" s="233">
        <v>1.425</v>
      </c>
      <c r="E13" s="244">
        <f t="shared" si="0"/>
        <v>41.83963793103449</v>
      </c>
      <c r="F13" s="37"/>
      <c r="G13" s="37"/>
      <c r="H13" s="37"/>
      <c r="I13" s="37"/>
      <c r="J13" s="37"/>
      <c r="K13" s="37"/>
      <c r="L13" s="100" t="s">
        <v>271</v>
      </c>
      <c r="M13" s="118">
        <v>3204016384</v>
      </c>
    </row>
    <row r="14" spans="1:13" ht="12.75">
      <c r="A14" s="39" t="s">
        <v>30</v>
      </c>
      <c r="B14" s="35" t="s">
        <v>248</v>
      </c>
      <c r="C14" s="36" t="s">
        <v>249</v>
      </c>
      <c r="D14" s="233">
        <v>1.324</v>
      </c>
      <c r="E14" s="244">
        <f t="shared" si="0"/>
        <v>38.874161839080465</v>
      </c>
      <c r="F14" s="37"/>
      <c r="G14" s="37"/>
      <c r="H14" s="37"/>
      <c r="I14" s="37"/>
      <c r="J14" s="37"/>
      <c r="K14" s="37"/>
      <c r="L14" s="100" t="s">
        <v>275</v>
      </c>
      <c r="M14" s="118">
        <v>3223040861</v>
      </c>
    </row>
    <row r="15" spans="1:14" s="203" customFormat="1" ht="12.75">
      <c r="A15" s="39" t="s">
        <v>10</v>
      </c>
      <c r="B15" s="273" t="s">
        <v>49</v>
      </c>
      <c r="C15" s="274" t="s">
        <v>50</v>
      </c>
      <c r="D15" s="275">
        <v>1.408</v>
      </c>
      <c r="E15" s="244">
        <f t="shared" si="0"/>
        <v>41.3404983908046</v>
      </c>
      <c r="F15" s="37"/>
      <c r="G15" s="198"/>
      <c r="H15" s="198"/>
      <c r="I15" s="37"/>
      <c r="J15" s="198"/>
      <c r="K15" s="198"/>
      <c r="L15" s="272" t="s">
        <v>271</v>
      </c>
      <c r="M15" s="276">
        <v>3203991914</v>
      </c>
      <c r="N15" s="202"/>
    </row>
    <row r="16" spans="1:13" ht="12.75">
      <c r="A16" s="39" t="s">
        <v>11</v>
      </c>
      <c r="B16" s="35" t="s">
        <v>251</v>
      </c>
      <c r="C16" s="36" t="s">
        <v>53</v>
      </c>
      <c r="D16" s="233">
        <v>1.324</v>
      </c>
      <c r="E16" s="244">
        <f t="shared" si="0"/>
        <v>38.874161839080465</v>
      </c>
      <c r="F16" s="37"/>
      <c r="G16" s="37"/>
      <c r="H16" s="37"/>
      <c r="I16" s="37"/>
      <c r="J16" s="37"/>
      <c r="K16" s="37"/>
      <c r="L16" s="100" t="s">
        <v>274</v>
      </c>
      <c r="M16" s="118">
        <v>3201084947</v>
      </c>
    </row>
    <row r="17" spans="1:13" ht="12.75">
      <c r="A17" s="39" t="s">
        <v>12</v>
      </c>
      <c r="B17" s="35" t="s">
        <v>54</v>
      </c>
      <c r="C17" s="36" t="s">
        <v>55</v>
      </c>
      <c r="D17" s="233">
        <v>1.37</v>
      </c>
      <c r="E17" s="244">
        <f t="shared" si="0"/>
        <v>40.22477471264368</v>
      </c>
      <c r="F17" s="37"/>
      <c r="G17" s="37"/>
      <c r="H17" s="37"/>
      <c r="I17" s="37"/>
      <c r="J17" s="37"/>
      <c r="K17" s="37"/>
      <c r="L17" s="100" t="s">
        <v>271</v>
      </c>
      <c r="M17" s="118">
        <v>3207503041</v>
      </c>
    </row>
    <row r="18" spans="1:13" ht="12.75">
      <c r="A18" s="39" t="s">
        <v>13</v>
      </c>
      <c r="B18" s="35" t="s">
        <v>56</v>
      </c>
      <c r="C18" s="36" t="s">
        <v>57</v>
      </c>
      <c r="D18" s="233">
        <v>1.656</v>
      </c>
      <c r="E18" s="244">
        <f t="shared" si="0"/>
        <v>48.62206344827587</v>
      </c>
      <c r="F18" s="37"/>
      <c r="G18" s="37"/>
      <c r="H18" s="37"/>
      <c r="I18" s="37"/>
      <c r="J18" s="37"/>
      <c r="K18" s="37"/>
      <c r="L18" s="100" t="s">
        <v>271</v>
      </c>
      <c r="M18" s="118">
        <v>3204074301</v>
      </c>
    </row>
    <row r="19" spans="1:13" ht="12.75">
      <c r="A19" s="39" t="s">
        <v>14</v>
      </c>
      <c r="B19" s="35" t="s">
        <v>246</v>
      </c>
      <c r="C19" s="36" t="s">
        <v>247</v>
      </c>
      <c r="D19" s="233">
        <v>1.348</v>
      </c>
      <c r="E19" s="244">
        <f t="shared" si="0"/>
        <v>39.57882942528736</v>
      </c>
      <c r="F19" s="37"/>
      <c r="G19" s="37"/>
      <c r="H19" s="37"/>
      <c r="I19" s="37"/>
      <c r="J19" s="37"/>
      <c r="K19" s="37"/>
      <c r="L19" s="100" t="s">
        <v>275</v>
      </c>
      <c r="M19" s="118">
        <v>3221235503</v>
      </c>
    </row>
    <row r="20" spans="1:13" ht="12.75">
      <c r="A20" s="39" t="s">
        <v>15</v>
      </c>
      <c r="B20" s="35" t="s">
        <v>102</v>
      </c>
      <c r="C20" s="36" t="s">
        <v>103</v>
      </c>
      <c r="D20" s="233">
        <v>1.342</v>
      </c>
      <c r="E20" s="244">
        <f t="shared" si="0"/>
        <v>39.40266252873563</v>
      </c>
      <c r="F20" s="37"/>
      <c r="G20" s="37"/>
      <c r="H20" s="37"/>
      <c r="I20" s="37"/>
      <c r="J20" s="37"/>
      <c r="K20" s="37"/>
      <c r="L20" s="100" t="s">
        <v>275</v>
      </c>
      <c r="M20" s="118">
        <v>3223516627</v>
      </c>
    </row>
    <row r="21" spans="1:13" ht="12.75">
      <c r="A21" s="39" t="s">
        <v>16</v>
      </c>
      <c r="B21" s="35" t="s">
        <v>244</v>
      </c>
      <c r="C21" s="36" t="s">
        <v>245</v>
      </c>
      <c r="D21" s="233">
        <v>1.335</v>
      </c>
      <c r="E21" s="244">
        <f t="shared" si="0"/>
        <v>39.19713448275862</v>
      </c>
      <c r="F21" s="37"/>
      <c r="G21" s="37"/>
      <c r="H21" s="37"/>
      <c r="I21" s="37"/>
      <c r="J21" s="37"/>
      <c r="K21" s="37"/>
      <c r="L21" s="100" t="s">
        <v>271</v>
      </c>
      <c r="M21" s="118">
        <v>3204141898</v>
      </c>
    </row>
    <row r="22" spans="1:13" ht="12.75">
      <c r="A22" s="39" t="s">
        <v>58</v>
      </c>
      <c r="B22" s="35" t="s">
        <v>252</v>
      </c>
      <c r="C22" s="36" t="s">
        <v>62</v>
      </c>
      <c r="D22" s="233">
        <v>1.322</v>
      </c>
      <c r="E22" s="244">
        <f t="shared" si="0"/>
        <v>38.81543954022989</v>
      </c>
      <c r="F22" s="37"/>
      <c r="G22" s="37"/>
      <c r="H22" s="37"/>
      <c r="I22" s="37"/>
      <c r="J22" s="37"/>
      <c r="K22" s="37"/>
      <c r="L22" s="100" t="s">
        <v>271</v>
      </c>
      <c r="M22" s="118">
        <v>3209826266</v>
      </c>
    </row>
    <row r="23" spans="1:13" ht="12.75">
      <c r="A23" s="39" t="s">
        <v>61</v>
      </c>
      <c r="B23" s="35" t="s">
        <v>64</v>
      </c>
      <c r="C23" s="36" t="s">
        <v>65</v>
      </c>
      <c r="D23" s="233">
        <v>1.316</v>
      </c>
      <c r="E23" s="244">
        <f t="shared" si="0"/>
        <v>38.63927264367817</v>
      </c>
      <c r="F23" s="37"/>
      <c r="G23" s="37"/>
      <c r="H23" s="37"/>
      <c r="I23" s="37"/>
      <c r="J23" s="37"/>
      <c r="K23" s="37"/>
      <c r="L23" s="100" t="s">
        <v>271</v>
      </c>
      <c r="M23" s="118">
        <v>3206487143</v>
      </c>
    </row>
    <row r="24" spans="1:13" ht="12.75">
      <c r="A24" s="39" t="s">
        <v>63</v>
      </c>
      <c r="B24" s="35" t="s">
        <v>67</v>
      </c>
      <c r="C24" s="36" t="s">
        <v>68</v>
      </c>
      <c r="D24" s="233">
        <v>1.316</v>
      </c>
      <c r="E24" s="244">
        <f t="shared" si="0"/>
        <v>38.63927264367817</v>
      </c>
      <c r="F24" s="37"/>
      <c r="G24" s="37"/>
      <c r="H24" s="37"/>
      <c r="I24" s="37"/>
      <c r="J24" s="37"/>
      <c r="K24" s="37"/>
      <c r="L24" s="100" t="s">
        <v>276</v>
      </c>
      <c r="M24" s="118">
        <v>3251666018</v>
      </c>
    </row>
    <row r="25" spans="1:13" ht="12.75">
      <c r="A25" s="39" t="s">
        <v>66</v>
      </c>
      <c r="B25" s="35" t="s">
        <v>213</v>
      </c>
      <c r="C25" s="36" t="s">
        <v>214</v>
      </c>
      <c r="D25" s="233">
        <v>1.329</v>
      </c>
      <c r="E25" s="244">
        <f t="shared" si="0"/>
        <v>39.0209675862069</v>
      </c>
      <c r="F25" s="37"/>
      <c r="G25" s="37"/>
      <c r="H25" s="37"/>
      <c r="I25" s="37"/>
      <c r="J25" s="37"/>
      <c r="K25" s="37"/>
      <c r="L25" s="100" t="s">
        <v>271</v>
      </c>
      <c r="M25" s="118">
        <v>3207325476</v>
      </c>
    </row>
    <row r="26" spans="1:13" ht="12.75">
      <c r="A26" s="39" t="s">
        <v>69</v>
      </c>
      <c r="B26" s="35" t="s">
        <v>70</v>
      </c>
      <c r="C26" s="36" t="s">
        <v>71</v>
      </c>
      <c r="D26" s="233">
        <v>1.322</v>
      </c>
      <c r="E26" s="244">
        <f t="shared" si="0"/>
        <v>38.81543954022989</v>
      </c>
      <c r="F26" s="37"/>
      <c r="G26" s="37"/>
      <c r="H26" s="37"/>
      <c r="I26" s="37"/>
      <c r="J26" s="37"/>
      <c r="K26" s="37"/>
      <c r="L26" s="100" t="s">
        <v>271</v>
      </c>
      <c r="M26" s="118">
        <v>3209339880</v>
      </c>
    </row>
    <row r="27" spans="1:13" ht="12.75">
      <c r="A27" s="39" t="s">
        <v>72</v>
      </c>
      <c r="B27" s="35" t="s">
        <v>73</v>
      </c>
      <c r="C27" s="36" t="s">
        <v>74</v>
      </c>
      <c r="D27" s="233">
        <v>1.656</v>
      </c>
      <c r="E27" s="244">
        <f t="shared" si="0"/>
        <v>48.62206344827587</v>
      </c>
      <c r="F27" s="37"/>
      <c r="G27" s="37"/>
      <c r="H27" s="37"/>
      <c r="I27" s="37"/>
      <c r="J27" s="37"/>
      <c r="K27" s="37"/>
      <c r="L27" s="100" t="s">
        <v>271</v>
      </c>
      <c r="M27" s="118">
        <v>3204051514</v>
      </c>
    </row>
    <row r="28" spans="1:13" ht="12.75">
      <c r="A28" s="39" t="s">
        <v>75</v>
      </c>
      <c r="B28" s="35" t="s">
        <v>239</v>
      </c>
      <c r="C28" s="36" t="s">
        <v>76</v>
      </c>
      <c r="D28" s="233">
        <v>1.582</v>
      </c>
      <c r="E28" s="244">
        <f t="shared" si="0"/>
        <v>46.4493383908046</v>
      </c>
      <c r="F28" s="37"/>
      <c r="G28" s="37"/>
      <c r="H28" s="37"/>
      <c r="I28" s="37"/>
      <c r="J28" s="37"/>
      <c r="K28" s="37"/>
      <c r="L28" s="100" t="s">
        <v>271</v>
      </c>
      <c r="M28" s="118">
        <v>3204010298</v>
      </c>
    </row>
    <row r="29" spans="1:13" ht="12.75">
      <c r="A29" s="39" t="s">
        <v>77</v>
      </c>
      <c r="B29" s="35" t="s">
        <v>78</v>
      </c>
      <c r="C29" s="36" t="s">
        <v>79</v>
      </c>
      <c r="D29" s="233">
        <v>1.696</v>
      </c>
      <c r="E29" s="244">
        <f t="shared" si="0"/>
        <v>49.79650942528736</v>
      </c>
      <c r="F29" s="37"/>
      <c r="G29" s="37"/>
      <c r="H29" s="37"/>
      <c r="I29" s="37"/>
      <c r="J29" s="37"/>
      <c r="K29" s="37"/>
      <c r="L29" s="100" t="s">
        <v>271</v>
      </c>
      <c r="M29" s="118">
        <v>3214138674</v>
      </c>
    </row>
    <row r="30" spans="1:13" ht="12.75">
      <c r="A30" s="39" t="s">
        <v>80</v>
      </c>
      <c r="B30" s="35" t="s">
        <v>84</v>
      </c>
      <c r="C30" s="36" t="s">
        <v>85</v>
      </c>
      <c r="D30" s="233">
        <v>1.296</v>
      </c>
      <c r="E30" s="244">
        <f t="shared" si="0"/>
        <v>38.05204965517242</v>
      </c>
      <c r="F30" s="37"/>
      <c r="G30" s="37"/>
      <c r="H30" s="37"/>
      <c r="I30" s="37"/>
      <c r="J30" s="37"/>
      <c r="K30" s="37"/>
      <c r="L30" s="100" t="s">
        <v>276</v>
      </c>
      <c r="M30" s="118">
        <v>3251589993</v>
      </c>
    </row>
    <row r="31" spans="1:13" ht="12.75">
      <c r="A31" s="39" t="s">
        <v>83</v>
      </c>
      <c r="B31" s="35" t="s">
        <v>87</v>
      </c>
      <c r="C31" s="36" t="s">
        <v>88</v>
      </c>
      <c r="D31" s="233">
        <v>1.649</v>
      </c>
      <c r="E31" s="244">
        <f t="shared" si="0"/>
        <v>48.416535402298855</v>
      </c>
      <c r="F31" s="37"/>
      <c r="G31" s="37"/>
      <c r="H31" s="37"/>
      <c r="I31" s="37"/>
      <c r="J31" s="37"/>
      <c r="K31" s="37"/>
      <c r="L31" s="100" t="s">
        <v>274</v>
      </c>
      <c r="M31" s="118">
        <v>3201084963</v>
      </c>
    </row>
    <row r="32" spans="1:13" ht="12.75">
      <c r="A32" s="39" t="s">
        <v>86</v>
      </c>
      <c r="B32" s="35" t="s">
        <v>90</v>
      </c>
      <c r="C32" s="36" t="s">
        <v>91</v>
      </c>
      <c r="D32" s="233">
        <v>1.67</v>
      </c>
      <c r="E32" s="244">
        <f t="shared" si="0"/>
        <v>49.03311954022989</v>
      </c>
      <c r="F32" s="37"/>
      <c r="G32" s="37"/>
      <c r="H32" s="37"/>
      <c r="I32" s="37"/>
      <c r="J32" s="37"/>
      <c r="K32" s="37"/>
      <c r="L32" s="100" t="s">
        <v>271</v>
      </c>
      <c r="M32" s="118">
        <v>3207034652</v>
      </c>
    </row>
    <row r="33" spans="1:13" ht="12.75">
      <c r="A33" s="39" t="s">
        <v>89</v>
      </c>
      <c r="B33" s="35" t="s">
        <v>94</v>
      </c>
      <c r="C33" s="36" t="s">
        <v>95</v>
      </c>
      <c r="D33" s="233">
        <v>1.54</v>
      </c>
      <c r="E33" s="244">
        <f t="shared" si="0"/>
        <v>45.216170114942535</v>
      </c>
      <c r="F33" s="37"/>
      <c r="G33" s="37"/>
      <c r="H33" s="37"/>
      <c r="I33" s="37"/>
      <c r="J33" s="37"/>
      <c r="K33" s="37"/>
      <c r="L33" s="100" t="s">
        <v>271</v>
      </c>
      <c r="M33" s="118">
        <v>3203938809</v>
      </c>
    </row>
    <row r="34" spans="1:13" ht="12.75">
      <c r="A34" s="39" t="s">
        <v>92</v>
      </c>
      <c r="B34" s="35" t="s">
        <v>221</v>
      </c>
      <c r="C34" s="36" t="s">
        <v>222</v>
      </c>
      <c r="D34" s="233">
        <v>1.309</v>
      </c>
      <c r="E34" s="244">
        <f t="shared" si="0"/>
        <v>38.43374459770115</v>
      </c>
      <c r="F34" s="37"/>
      <c r="G34" s="37"/>
      <c r="H34" s="37"/>
      <c r="I34" s="37"/>
      <c r="J34" s="37"/>
      <c r="K34" s="37"/>
      <c r="L34" s="100" t="s">
        <v>276</v>
      </c>
      <c r="M34" s="118">
        <v>3243353856</v>
      </c>
    </row>
    <row r="35" spans="1:13" ht="12.75">
      <c r="A35" s="39" t="s">
        <v>93</v>
      </c>
      <c r="B35" s="35" t="s">
        <v>253</v>
      </c>
      <c r="C35" s="36" t="s">
        <v>97</v>
      </c>
      <c r="D35" s="233">
        <v>1.619</v>
      </c>
      <c r="E35" s="244">
        <f t="shared" si="0"/>
        <v>47.53570091954023</v>
      </c>
      <c r="F35" s="37"/>
      <c r="G35" s="37"/>
      <c r="H35" s="37"/>
      <c r="I35" s="37"/>
      <c r="J35" s="37"/>
      <c r="K35" s="37"/>
      <c r="L35" s="100" t="s">
        <v>274</v>
      </c>
      <c r="M35" s="118">
        <v>3201085064</v>
      </c>
    </row>
    <row r="36" spans="1:13" ht="12.75">
      <c r="A36" s="39" t="s">
        <v>96</v>
      </c>
      <c r="B36" s="35" t="s">
        <v>99</v>
      </c>
      <c r="C36" s="36" t="s">
        <v>100</v>
      </c>
      <c r="D36" s="233">
        <v>1.348</v>
      </c>
      <c r="E36" s="244">
        <f t="shared" si="0"/>
        <v>39.57882942528736</v>
      </c>
      <c r="F36" s="37"/>
      <c r="G36" s="37"/>
      <c r="H36" s="37"/>
      <c r="I36" s="37"/>
      <c r="J36" s="37"/>
      <c r="K36" s="37"/>
      <c r="L36" s="100" t="s">
        <v>275</v>
      </c>
      <c r="M36" s="118">
        <v>3238905542</v>
      </c>
    </row>
    <row r="37" spans="1:13" ht="12.75">
      <c r="A37" s="39" t="s">
        <v>98</v>
      </c>
      <c r="B37" s="35" t="s">
        <v>291</v>
      </c>
      <c r="C37" s="36" t="s">
        <v>106</v>
      </c>
      <c r="D37" s="233">
        <v>1.296</v>
      </c>
      <c r="E37" s="244">
        <f t="shared" si="0"/>
        <v>38.05204965517242</v>
      </c>
      <c r="F37" s="37"/>
      <c r="G37" s="37"/>
      <c r="H37" s="37"/>
      <c r="I37" s="37"/>
      <c r="J37" s="37"/>
      <c r="K37" s="37"/>
      <c r="L37" s="100" t="s">
        <v>275</v>
      </c>
      <c r="M37" s="118">
        <v>3223350187</v>
      </c>
    </row>
    <row r="38" spans="1:13" ht="12.75">
      <c r="A38" s="39" t="s">
        <v>101</v>
      </c>
      <c r="B38" s="35" t="s">
        <v>108</v>
      </c>
      <c r="C38" s="36" t="s">
        <v>109</v>
      </c>
      <c r="D38" s="233">
        <v>1.329</v>
      </c>
      <c r="E38" s="244">
        <f t="shared" si="0"/>
        <v>39.0209675862069</v>
      </c>
      <c r="F38" s="37"/>
      <c r="G38" s="37"/>
      <c r="H38" s="37"/>
      <c r="I38" s="37"/>
      <c r="J38" s="37"/>
      <c r="K38" s="37"/>
      <c r="L38" s="100" t="s">
        <v>274</v>
      </c>
      <c r="M38" s="118">
        <v>3201113074</v>
      </c>
    </row>
    <row r="39" spans="1:13" ht="12.75">
      <c r="A39" s="39" t="s">
        <v>104</v>
      </c>
      <c r="B39" s="35" t="s">
        <v>111</v>
      </c>
      <c r="C39" s="36" t="s">
        <v>112</v>
      </c>
      <c r="D39" s="233">
        <v>1.663</v>
      </c>
      <c r="E39" s="244">
        <f t="shared" si="0"/>
        <v>48.82759149425288</v>
      </c>
      <c r="F39" s="37"/>
      <c r="G39" s="37"/>
      <c r="H39" s="37"/>
      <c r="I39" s="37"/>
      <c r="J39" s="37"/>
      <c r="K39" s="37"/>
      <c r="L39" s="100" t="s">
        <v>271</v>
      </c>
      <c r="M39" s="118">
        <v>3204010417</v>
      </c>
    </row>
    <row r="40" spans="1:13" ht="12.75">
      <c r="A40" s="39" t="s">
        <v>107</v>
      </c>
      <c r="B40" s="35" t="s">
        <v>114</v>
      </c>
      <c r="C40" s="36" t="s">
        <v>115</v>
      </c>
      <c r="D40" s="233">
        <v>1.566</v>
      </c>
      <c r="E40" s="244">
        <f t="shared" si="0"/>
        <v>45.979560000000006</v>
      </c>
      <c r="F40" s="37"/>
      <c r="G40" s="37"/>
      <c r="H40" s="37"/>
      <c r="I40" s="37"/>
      <c r="J40" s="37"/>
      <c r="K40" s="37"/>
      <c r="L40" s="100" t="s">
        <v>271</v>
      </c>
      <c r="M40" s="118">
        <v>3204021743</v>
      </c>
    </row>
    <row r="41" spans="1:13" ht="12.75">
      <c r="A41" s="39" t="s">
        <v>110</v>
      </c>
      <c r="B41" s="35" t="s">
        <v>117</v>
      </c>
      <c r="C41" s="36" t="s">
        <v>118</v>
      </c>
      <c r="D41" s="233">
        <v>1.585</v>
      </c>
      <c r="E41" s="244">
        <f t="shared" si="0"/>
        <v>46.53742183908046</v>
      </c>
      <c r="F41" s="37"/>
      <c r="G41" s="37"/>
      <c r="H41" s="37"/>
      <c r="I41" s="37"/>
      <c r="J41" s="37"/>
      <c r="K41" s="37"/>
      <c r="L41" s="100" t="s">
        <v>274</v>
      </c>
      <c r="M41" s="118">
        <v>3201085072</v>
      </c>
    </row>
    <row r="42" spans="1:13" ht="12.75">
      <c r="A42" s="39" t="s">
        <v>113</v>
      </c>
      <c r="B42" s="35" t="s">
        <v>120</v>
      </c>
      <c r="C42" s="36" t="s">
        <v>121</v>
      </c>
      <c r="D42" s="233">
        <v>1.316</v>
      </c>
      <c r="E42" s="244">
        <f t="shared" si="0"/>
        <v>38.63927264367817</v>
      </c>
      <c r="F42" s="37"/>
      <c r="G42" s="37"/>
      <c r="H42" s="37"/>
      <c r="I42" s="37"/>
      <c r="J42" s="37"/>
      <c r="K42" s="37"/>
      <c r="L42" s="100" t="s">
        <v>271</v>
      </c>
      <c r="M42" s="118">
        <v>3201227584</v>
      </c>
    </row>
    <row r="43" spans="1:13" ht="12.75">
      <c r="A43" s="39" t="s">
        <v>116</v>
      </c>
      <c r="B43" s="35" t="s">
        <v>123</v>
      </c>
      <c r="C43" s="36" t="s">
        <v>124</v>
      </c>
      <c r="D43" s="233">
        <v>0.781</v>
      </c>
      <c r="E43" s="244">
        <f t="shared" si="0"/>
        <v>22.931057701149427</v>
      </c>
      <c r="F43" s="37"/>
      <c r="G43" s="37"/>
      <c r="H43" s="37"/>
      <c r="I43" s="37"/>
      <c r="J43" s="37"/>
      <c r="K43" s="37"/>
      <c r="L43" s="100" t="s">
        <v>271</v>
      </c>
      <c r="M43" s="118">
        <v>3213573925</v>
      </c>
    </row>
    <row r="44" spans="1:13" ht="12.75">
      <c r="A44" s="39" t="s">
        <v>119</v>
      </c>
      <c r="B44" s="35" t="s">
        <v>126</v>
      </c>
      <c r="C44" s="36" t="s">
        <v>127</v>
      </c>
      <c r="D44" s="233">
        <v>1.642</v>
      </c>
      <c r="E44" s="244">
        <f t="shared" si="0"/>
        <v>48.21100735632184</v>
      </c>
      <c r="F44" s="37"/>
      <c r="G44" s="37"/>
      <c r="H44" s="37"/>
      <c r="I44" s="37"/>
      <c r="J44" s="37"/>
      <c r="K44" s="37"/>
      <c r="L44" s="100" t="s">
        <v>271</v>
      </c>
      <c r="M44" s="118">
        <v>3206953335</v>
      </c>
    </row>
    <row r="45" spans="1:13" ht="12.75">
      <c r="A45" s="39" t="s">
        <v>122</v>
      </c>
      <c r="B45" s="35" t="s">
        <v>129</v>
      </c>
      <c r="C45" s="36" t="s">
        <v>130</v>
      </c>
      <c r="D45" s="233">
        <v>1.89</v>
      </c>
      <c r="E45" s="244">
        <f t="shared" si="0"/>
        <v>55.4925724137931</v>
      </c>
      <c r="F45" s="37"/>
      <c r="G45" s="37"/>
      <c r="H45" s="37"/>
      <c r="I45" s="37"/>
      <c r="J45" s="37"/>
      <c r="K45" s="37"/>
      <c r="L45" s="100" t="s">
        <v>274</v>
      </c>
      <c r="M45" s="118">
        <v>3201085013</v>
      </c>
    </row>
    <row r="46" spans="1:13" ht="12.75">
      <c r="A46" s="39" t="s">
        <v>125</v>
      </c>
      <c r="B46" s="35" t="s">
        <v>250</v>
      </c>
      <c r="C46" s="36" t="s">
        <v>46</v>
      </c>
      <c r="D46" s="233">
        <v>1.505</v>
      </c>
      <c r="E46" s="244">
        <f t="shared" si="0"/>
        <v>44.18852988505747</v>
      </c>
      <c r="F46" s="37"/>
      <c r="G46" s="37"/>
      <c r="H46" s="37"/>
      <c r="I46" s="37"/>
      <c r="J46" s="37"/>
      <c r="K46" s="37"/>
      <c r="L46" s="100" t="s">
        <v>271</v>
      </c>
      <c r="M46" s="118">
        <v>3204035547</v>
      </c>
    </row>
    <row r="47" spans="1:13" ht="12.75">
      <c r="A47" s="39" t="s">
        <v>128</v>
      </c>
      <c r="B47" s="35" t="s">
        <v>132</v>
      </c>
      <c r="C47" s="36" t="s">
        <v>133</v>
      </c>
      <c r="D47" s="233">
        <v>1.568</v>
      </c>
      <c r="E47" s="244">
        <f t="shared" si="0"/>
        <v>46.038282298850575</v>
      </c>
      <c r="F47" s="37"/>
      <c r="G47" s="37"/>
      <c r="H47" s="37"/>
      <c r="I47" s="37"/>
      <c r="J47" s="37"/>
      <c r="K47" s="37"/>
      <c r="L47" s="100" t="s">
        <v>271</v>
      </c>
      <c r="M47" s="118">
        <v>3204010409</v>
      </c>
    </row>
    <row r="48" spans="1:13" ht="12.75">
      <c r="A48" s="39" t="s">
        <v>131</v>
      </c>
      <c r="B48" s="35" t="s">
        <v>135</v>
      </c>
      <c r="C48" s="36" t="s">
        <v>136</v>
      </c>
      <c r="D48" s="233">
        <v>1.415</v>
      </c>
      <c r="E48" s="244">
        <f t="shared" si="0"/>
        <v>41.54602643678161</v>
      </c>
      <c r="F48" s="37"/>
      <c r="G48" s="37"/>
      <c r="H48" s="37"/>
      <c r="I48" s="37"/>
      <c r="J48" s="37"/>
      <c r="K48" s="37"/>
      <c r="L48" s="100" t="s">
        <v>271</v>
      </c>
      <c r="M48" s="118">
        <v>3206725631</v>
      </c>
    </row>
    <row r="49" spans="1:14" s="297" customFormat="1" ht="37.5" customHeight="1">
      <c r="A49" s="290" t="s">
        <v>292</v>
      </c>
      <c r="B49" s="290" t="s">
        <v>17</v>
      </c>
      <c r="C49" s="290" t="s">
        <v>254</v>
      </c>
      <c r="D49" s="291" t="s">
        <v>290</v>
      </c>
      <c r="E49" s="292" t="s">
        <v>392</v>
      </c>
      <c r="F49" s="293" t="s">
        <v>396</v>
      </c>
      <c r="G49" s="294" t="s">
        <v>397</v>
      </c>
      <c r="H49" s="290" t="s">
        <v>398</v>
      </c>
      <c r="I49" s="293" t="s">
        <v>399</v>
      </c>
      <c r="J49" s="290" t="s">
        <v>400</v>
      </c>
      <c r="K49" s="290" t="s">
        <v>401</v>
      </c>
      <c r="L49" s="295" t="s">
        <v>270</v>
      </c>
      <c r="M49" s="290" t="s">
        <v>280</v>
      </c>
      <c r="N49" s="296"/>
    </row>
    <row r="50" spans="1:13" ht="12.75">
      <c r="A50" s="39" t="s">
        <v>134</v>
      </c>
      <c r="B50" s="35" t="s">
        <v>148</v>
      </c>
      <c r="C50" s="36" t="s">
        <v>149</v>
      </c>
      <c r="D50" s="233">
        <v>1.335</v>
      </c>
      <c r="E50" s="244">
        <f aca="true" t="shared" si="1" ref="E50:E87">D50*5108.84/174</f>
        <v>39.19713448275862</v>
      </c>
      <c r="F50" s="37"/>
      <c r="G50" s="37"/>
      <c r="H50" s="37"/>
      <c r="I50" s="37"/>
      <c r="J50" s="37"/>
      <c r="K50" s="37"/>
      <c r="L50" s="100" t="s">
        <v>277</v>
      </c>
      <c r="M50" s="118">
        <v>3206045226</v>
      </c>
    </row>
    <row r="51" spans="1:13" ht="12.75">
      <c r="A51" s="39" t="s">
        <v>137</v>
      </c>
      <c r="B51" s="35" t="s">
        <v>216</v>
      </c>
      <c r="C51" s="36" t="s">
        <v>217</v>
      </c>
      <c r="D51" s="233">
        <v>1.335</v>
      </c>
      <c r="E51" s="244">
        <f t="shared" si="1"/>
        <v>39.19713448275862</v>
      </c>
      <c r="F51" s="37"/>
      <c r="G51" s="37"/>
      <c r="H51" s="37"/>
      <c r="I51" s="37"/>
      <c r="J51" s="37"/>
      <c r="K51" s="37"/>
      <c r="L51" s="100" t="s">
        <v>275</v>
      </c>
      <c r="M51" s="118">
        <v>3220513030</v>
      </c>
    </row>
    <row r="52" spans="1:13" ht="12.75">
      <c r="A52" s="39" t="s">
        <v>140</v>
      </c>
      <c r="B52" s="35" t="s">
        <v>138</v>
      </c>
      <c r="C52" s="36" t="s">
        <v>139</v>
      </c>
      <c r="D52" s="233">
        <v>1.547</v>
      </c>
      <c r="E52" s="244">
        <f t="shared" si="1"/>
        <v>45.42169816091954</v>
      </c>
      <c r="F52" s="37"/>
      <c r="G52" s="37"/>
      <c r="H52" s="37"/>
      <c r="I52" s="37"/>
      <c r="J52" s="37"/>
      <c r="K52" s="37"/>
      <c r="L52" s="100" t="s">
        <v>271</v>
      </c>
      <c r="M52" s="118">
        <v>3204015058</v>
      </c>
    </row>
    <row r="53" spans="1:14" s="203" customFormat="1" ht="12.75">
      <c r="A53" s="39" t="s">
        <v>143</v>
      </c>
      <c r="B53" s="273" t="s">
        <v>296</v>
      </c>
      <c r="C53" s="274" t="s">
        <v>142</v>
      </c>
      <c r="D53" s="275">
        <v>1.376</v>
      </c>
      <c r="E53" s="244">
        <f t="shared" si="1"/>
        <v>40.4009416091954</v>
      </c>
      <c r="F53" s="198"/>
      <c r="G53" s="198"/>
      <c r="H53" s="198"/>
      <c r="I53" s="37"/>
      <c r="J53" s="198"/>
      <c r="K53" s="198"/>
      <c r="L53" s="272" t="s">
        <v>271</v>
      </c>
      <c r="M53" s="276">
        <v>3202927758</v>
      </c>
      <c r="N53" s="202"/>
    </row>
    <row r="54" spans="1:13" ht="12.75">
      <c r="A54" s="39" t="s">
        <v>144</v>
      </c>
      <c r="B54" s="35" t="s">
        <v>145</v>
      </c>
      <c r="C54" s="36" t="s">
        <v>146</v>
      </c>
      <c r="D54" s="233">
        <v>1.561</v>
      </c>
      <c r="E54" s="244">
        <f t="shared" si="1"/>
        <v>45.83275425287356</v>
      </c>
      <c r="F54" s="37"/>
      <c r="G54" s="37"/>
      <c r="H54" s="37"/>
      <c r="I54" s="37"/>
      <c r="J54" s="37"/>
      <c r="K54" s="37"/>
      <c r="L54" s="100" t="s">
        <v>271</v>
      </c>
      <c r="M54" s="118">
        <v>3203992312</v>
      </c>
    </row>
    <row r="55" spans="1:13" ht="12.75">
      <c r="A55" s="39" t="s">
        <v>147</v>
      </c>
      <c r="B55" s="35" t="s">
        <v>240</v>
      </c>
      <c r="C55" s="36" t="s">
        <v>241</v>
      </c>
      <c r="D55" s="233">
        <v>1.06</v>
      </c>
      <c r="E55" s="244">
        <f t="shared" si="1"/>
        <v>31.122818390804603</v>
      </c>
      <c r="F55" s="37"/>
      <c r="G55" s="37"/>
      <c r="H55" s="37"/>
      <c r="I55" s="37"/>
      <c r="J55" s="37"/>
      <c r="K55" s="37"/>
      <c r="L55" s="100" t="s">
        <v>271</v>
      </c>
      <c r="M55" s="118">
        <v>3205778577</v>
      </c>
    </row>
    <row r="56" spans="1:13" ht="12.75">
      <c r="A56" s="39" t="s">
        <v>150</v>
      </c>
      <c r="B56" s="35" t="s">
        <v>151</v>
      </c>
      <c r="C56" s="36" t="s">
        <v>152</v>
      </c>
      <c r="D56" s="233">
        <v>1.335</v>
      </c>
      <c r="E56" s="244">
        <f t="shared" si="1"/>
        <v>39.19713448275862</v>
      </c>
      <c r="F56" s="37"/>
      <c r="G56" s="37"/>
      <c r="H56" s="37"/>
      <c r="I56" s="37"/>
      <c r="J56" s="37"/>
      <c r="K56" s="37"/>
      <c r="L56" s="100" t="s">
        <v>273</v>
      </c>
      <c r="M56" s="118">
        <v>3234063231</v>
      </c>
    </row>
    <row r="57" spans="1:13" ht="12.75">
      <c r="A57" s="39" t="s">
        <v>153</v>
      </c>
      <c r="B57" s="35" t="s">
        <v>81</v>
      </c>
      <c r="C57" s="36" t="s">
        <v>82</v>
      </c>
      <c r="D57" s="233">
        <v>1.685</v>
      </c>
      <c r="E57" s="244">
        <f t="shared" si="1"/>
        <v>49.473536781609205</v>
      </c>
      <c r="F57" s="37"/>
      <c r="G57" s="37"/>
      <c r="H57" s="37"/>
      <c r="I57" s="37"/>
      <c r="J57" s="37"/>
      <c r="K57" s="37"/>
      <c r="L57" s="100" t="s">
        <v>274</v>
      </c>
      <c r="M57" s="118">
        <v>3201085021</v>
      </c>
    </row>
    <row r="58" spans="1:13" ht="12.75">
      <c r="A58" s="39" t="s">
        <v>156</v>
      </c>
      <c r="B58" s="35" t="s">
        <v>51</v>
      </c>
      <c r="C58" s="36" t="s">
        <v>52</v>
      </c>
      <c r="D58" s="233">
        <v>1.505</v>
      </c>
      <c r="E58" s="244">
        <f t="shared" si="1"/>
        <v>44.18852988505747</v>
      </c>
      <c r="F58" s="37"/>
      <c r="G58" s="37"/>
      <c r="H58" s="37"/>
      <c r="I58" s="37"/>
      <c r="J58" s="37"/>
      <c r="K58" s="37"/>
      <c r="L58" s="100" t="s">
        <v>273</v>
      </c>
      <c r="M58" s="118">
        <v>3226742777</v>
      </c>
    </row>
    <row r="59" spans="1:13" ht="12.75">
      <c r="A59" s="39" t="s">
        <v>157</v>
      </c>
      <c r="B59" s="35" t="s">
        <v>210</v>
      </c>
      <c r="C59" s="36" t="s">
        <v>211</v>
      </c>
      <c r="D59" s="233">
        <v>1.395</v>
      </c>
      <c r="E59" s="244">
        <f t="shared" si="1"/>
        <v>40.95880344827586</v>
      </c>
      <c r="F59" s="37"/>
      <c r="G59" s="37"/>
      <c r="H59" s="37"/>
      <c r="I59" s="37"/>
      <c r="J59" s="37"/>
      <c r="K59" s="37"/>
      <c r="L59" s="100" t="s">
        <v>276</v>
      </c>
      <c r="M59" s="118">
        <v>3242020709</v>
      </c>
    </row>
    <row r="60" spans="1:13" ht="12.75">
      <c r="A60" s="39" t="s">
        <v>160</v>
      </c>
      <c r="B60" s="35" t="s">
        <v>154</v>
      </c>
      <c r="C60" s="36" t="s">
        <v>155</v>
      </c>
      <c r="D60" s="233">
        <v>1.376</v>
      </c>
      <c r="E60" s="244">
        <f t="shared" si="1"/>
        <v>40.4009416091954</v>
      </c>
      <c r="F60" s="37"/>
      <c r="G60" s="37"/>
      <c r="H60" s="37"/>
      <c r="I60" s="37"/>
      <c r="J60" s="37"/>
      <c r="K60" s="37"/>
      <c r="L60" s="100" t="s">
        <v>271</v>
      </c>
      <c r="M60" s="118">
        <v>3204198345</v>
      </c>
    </row>
    <row r="61" spans="1:13" ht="12.75">
      <c r="A61" s="39" t="s">
        <v>161</v>
      </c>
      <c r="B61" s="35" t="s">
        <v>269</v>
      </c>
      <c r="C61" s="36" t="s">
        <v>281</v>
      </c>
      <c r="D61" s="233">
        <v>1.421</v>
      </c>
      <c r="E61" s="244">
        <f t="shared" si="1"/>
        <v>41.72219333333334</v>
      </c>
      <c r="F61" s="37"/>
      <c r="G61" s="37"/>
      <c r="H61" s="37"/>
      <c r="I61" s="37"/>
      <c r="J61" s="37"/>
      <c r="K61" s="37"/>
      <c r="L61" s="100" t="s">
        <v>271</v>
      </c>
      <c r="M61" s="118">
        <v>3204133135</v>
      </c>
    </row>
    <row r="62" spans="1:13" ht="12.75">
      <c r="A62" s="39" t="s">
        <v>164</v>
      </c>
      <c r="B62" s="35" t="s">
        <v>158</v>
      </c>
      <c r="C62" s="36" t="s">
        <v>159</v>
      </c>
      <c r="D62" s="233">
        <v>1.481</v>
      </c>
      <c r="E62" s="244">
        <f t="shared" si="1"/>
        <v>43.48386229885058</v>
      </c>
      <c r="F62" s="37"/>
      <c r="G62" s="37"/>
      <c r="H62" s="37"/>
      <c r="I62" s="37"/>
      <c r="J62" s="37"/>
      <c r="K62" s="37"/>
      <c r="L62" s="100" t="s">
        <v>273</v>
      </c>
      <c r="M62" s="118">
        <v>3234621398</v>
      </c>
    </row>
    <row r="63" spans="1:13" ht="12.75">
      <c r="A63" s="39" t="s">
        <v>167</v>
      </c>
      <c r="B63" s="35" t="s">
        <v>162</v>
      </c>
      <c r="C63" s="36" t="s">
        <v>163</v>
      </c>
      <c r="D63" s="233">
        <v>1.309</v>
      </c>
      <c r="E63" s="244">
        <f t="shared" si="1"/>
        <v>38.43374459770115</v>
      </c>
      <c r="F63" s="37"/>
      <c r="G63" s="37"/>
      <c r="H63" s="37"/>
      <c r="I63" s="37"/>
      <c r="J63" s="37"/>
      <c r="K63" s="37"/>
      <c r="L63" s="100" t="s">
        <v>271</v>
      </c>
      <c r="M63" s="118">
        <v>3204240808</v>
      </c>
    </row>
    <row r="64" spans="1:13" ht="12.75">
      <c r="A64" s="39" t="s">
        <v>170</v>
      </c>
      <c r="B64" s="35" t="s">
        <v>232</v>
      </c>
      <c r="C64" s="36" t="s">
        <v>233</v>
      </c>
      <c r="D64" s="233">
        <v>1.568</v>
      </c>
      <c r="E64" s="244">
        <f t="shared" si="1"/>
        <v>46.038282298850575</v>
      </c>
      <c r="F64" s="37"/>
      <c r="G64" s="37"/>
      <c r="H64" s="37"/>
      <c r="I64" s="37"/>
      <c r="J64" s="37"/>
      <c r="K64" s="37"/>
      <c r="L64" s="100" t="s">
        <v>271</v>
      </c>
      <c r="M64" s="118">
        <v>3203978191</v>
      </c>
    </row>
    <row r="65" spans="1:13" ht="12.75">
      <c r="A65" s="39" t="s">
        <v>173</v>
      </c>
      <c r="B65" s="35" t="s">
        <v>165</v>
      </c>
      <c r="C65" s="36" t="s">
        <v>166</v>
      </c>
      <c r="D65" s="233">
        <v>1.547</v>
      </c>
      <c r="E65" s="244">
        <f t="shared" si="1"/>
        <v>45.42169816091954</v>
      </c>
      <c r="F65" s="37"/>
      <c r="G65" s="37"/>
      <c r="H65" s="37"/>
      <c r="I65" s="37"/>
      <c r="J65" s="37"/>
      <c r="K65" s="37"/>
      <c r="L65" s="100" t="s">
        <v>271</v>
      </c>
      <c r="M65" s="118">
        <v>3204197043</v>
      </c>
    </row>
    <row r="66" spans="1:13" ht="12.75">
      <c r="A66" s="39" t="s">
        <v>176</v>
      </c>
      <c r="B66" s="35" t="s">
        <v>168</v>
      </c>
      <c r="C66" s="36" t="s">
        <v>169</v>
      </c>
      <c r="D66" s="233">
        <v>1.408</v>
      </c>
      <c r="E66" s="244">
        <f t="shared" si="1"/>
        <v>41.3404983908046</v>
      </c>
      <c r="F66" s="37"/>
      <c r="G66" s="37"/>
      <c r="H66" s="37"/>
      <c r="I66" s="37"/>
      <c r="J66" s="37"/>
      <c r="K66" s="37"/>
      <c r="L66" s="100" t="s">
        <v>271</v>
      </c>
      <c r="M66" s="118">
        <v>3204079515</v>
      </c>
    </row>
    <row r="67" spans="1:13" ht="12.75">
      <c r="A67" s="39" t="s">
        <v>179</v>
      </c>
      <c r="B67" s="35" t="s">
        <v>171</v>
      </c>
      <c r="C67" s="36" t="s">
        <v>172</v>
      </c>
      <c r="D67" s="233">
        <v>1.322</v>
      </c>
      <c r="E67" s="244">
        <f t="shared" si="1"/>
        <v>38.81543954022989</v>
      </c>
      <c r="F67" s="37"/>
      <c r="G67" s="37"/>
      <c r="H67" s="37"/>
      <c r="I67" s="37"/>
      <c r="J67" s="37"/>
      <c r="K67" s="37"/>
      <c r="L67" s="100" t="s">
        <v>271</v>
      </c>
      <c r="M67" s="118">
        <v>3209023009</v>
      </c>
    </row>
    <row r="68" spans="1:13" ht="12.75">
      <c r="A68" s="39" t="s">
        <v>182</v>
      </c>
      <c r="B68" s="35" t="s">
        <v>174</v>
      </c>
      <c r="C68" s="36" t="s">
        <v>175</v>
      </c>
      <c r="D68" s="233">
        <v>1.054</v>
      </c>
      <c r="E68" s="244">
        <f t="shared" si="1"/>
        <v>30.946651494252876</v>
      </c>
      <c r="F68" s="37"/>
      <c r="G68" s="37"/>
      <c r="H68" s="37"/>
      <c r="I68" s="37"/>
      <c r="J68" s="37"/>
      <c r="K68" s="37"/>
      <c r="L68" s="100" t="s">
        <v>271</v>
      </c>
      <c r="M68" s="118">
        <v>3204010100</v>
      </c>
    </row>
    <row r="69" spans="1:13" ht="12.75">
      <c r="A69" s="39" t="s">
        <v>185</v>
      </c>
      <c r="B69" s="35" t="s">
        <v>180</v>
      </c>
      <c r="C69" s="36" t="s">
        <v>181</v>
      </c>
      <c r="D69" s="233">
        <v>0.688</v>
      </c>
      <c r="E69" s="244">
        <f t="shared" si="1"/>
        <v>20.2004708045977</v>
      </c>
      <c r="F69" s="37"/>
      <c r="G69" s="37"/>
      <c r="H69" s="37"/>
      <c r="I69" s="37"/>
      <c r="J69" s="37"/>
      <c r="K69" s="37"/>
      <c r="L69" s="100" t="s">
        <v>271</v>
      </c>
      <c r="M69" s="118">
        <v>3204016235</v>
      </c>
    </row>
    <row r="70" spans="1:13" ht="12.75">
      <c r="A70" s="39" t="s">
        <v>188</v>
      </c>
      <c r="B70" s="35" t="s">
        <v>183</v>
      </c>
      <c r="C70" s="36" t="s">
        <v>184</v>
      </c>
      <c r="D70" s="233">
        <v>0.182</v>
      </c>
      <c r="E70" s="244">
        <f t="shared" si="1"/>
        <v>5.343729195402299</v>
      </c>
      <c r="F70" s="37"/>
      <c r="G70" s="37"/>
      <c r="H70" s="37"/>
      <c r="I70" s="37"/>
      <c r="J70" s="37"/>
      <c r="K70" s="37"/>
      <c r="L70" s="100" t="s">
        <v>271</v>
      </c>
      <c r="M70" s="118">
        <v>3204072195</v>
      </c>
    </row>
    <row r="71" spans="1:13" ht="12.75">
      <c r="A71" s="39" t="s">
        <v>191</v>
      </c>
      <c r="B71" s="35" t="s">
        <v>186</v>
      </c>
      <c r="C71" s="36" t="s">
        <v>187</v>
      </c>
      <c r="D71" s="233">
        <v>0.332</v>
      </c>
      <c r="E71" s="244">
        <f t="shared" si="1"/>
        <v>9.747901609195402</v>
      </c>
      <c r="F71" s="37"/>
      <c r="G71" s="37"/>
      <c r="H71" s="37"/>
      <c r="I71" s="37"/>
      <c r="J71" s="37"/>
      <c r="K71" s="37"/>
      <c r="L71" s="100" t="s">
        <v>271</v>
      </c>
      <c r="M71" s="118">
        <v>3204079960</v>
      </c>
    </row>
    <row r="72" spans="1:13" ht="12.75">
      <c r="A72" s="39" t="s">
        <v>194</v>
      </c>
      <c r="B72" s="35" t="s">
        <v>189</v>
      </c>
      <c r="C72" s="36" t="s">
        <v>190</v>
      </c>
      <c r="D72" s="233">
        <v>0.701</v>
      </c>
      <c r="E72" s="244">
        <f t="shared" si="1"/>
        <v>20.582165747126435</v>
      </c>
      <c r="F72" s="37"/>
      <c r="G72" s="37"/>
      <c r="H72" s="37"/>
      <c r="I72" s="37"/>
      <c r="J72" s="37"/>
      <c r="K72" s="37"/>
      <c r="L72" s="100" t="s">
        <v>271</v>
      </c>
      <c r="M72" s="118">
        <v>3203970986</v>
      </c>
    </row>
    <row r="73" spans="1:13" ht="12.75">
      <c r="A73" s="39" t="s">
        <v>197</v>
      </c>
      <c r="B73" s="35" t="s">
        <v>192</v>
      </c>
      <c r="C73" s="36" t="s">
        <v>193</v>
      </c>
      <c r="D73" s="233">
        <v>0.67</v>
      </c>
      <c r="E73" s="244">
        <f t="shared" si="1"/>
        <v>19.671970114942532</v>
      </c>
      <c r="F73" s="37"/>
      <c r="G73" s="37"/>
      <c r="H73" s="37"/>
      <c r="I73" s="37"/>
      <c r="J73" s="37"/>
      <c r="K73" s="37"/>
      <c r="L73" s="100" t="s">
        <v>271</v>
      </c>
      <c r="M73" s="118">
        <v>3204067208</v>
      </c>
    </row>
    <row r="74" spans="1:13" ht="12.75">
      <c r="A74" s="39" t="s">
        <v>200</v>
      </c>
      <c r="B74" s="35" t="s">
        <v>195</v>
      </c>
      <c r="C74" s="36" t="s">
        <v>196</v>
      </c>
      <c r="D74" s="233">
        <v>0.657</v>
      </c>
      <c r="E74" s="244">
        <f t="shared" si="1"/>
        <v>19.290275172413793</v>
      </c>
      <c r="F74" s="37"/>
      <c r="G74" s="37"/>
      <c r="H74" s="37"/>
      <c r="I74" s="37"/>
      <c r="J74" s="37"/>
      <c r="K74" s="37"/>
      <c r="L74" s="100" t="s">
        <v>271</v>
      </c>
      <c r="M74" s="118">
        <v>3204142989</v>
      </c>
    </row>
    <row r="75" spans="1:13" ht="12.75">
      <c r="A75" s="39" t="s">
        <v>203</v>
      </c>
      <c r="B75" s="35" t="s">
        <v>198</v>
      </c>
      <c r="C75" s="36" t="s">
        <v>199</v>
      </c>
      <c r="D75" s="233">
        <v>0.67</v>
      </c>
      <c r="E75" s="244">
        <f t="shared" si="1"/>
        <v>19.671970114942532</v>
      </c>
      <c r="F75" s="37"/>
      <c r="G75" s="37"/>
      <c r="H75" s="37"/>
      <c r="I75" s="37"/>
      <c r="J75" s="37"/>
      <c r="K75" s="37"/>
      <c r="L75" s="100" t="s">
        <v>271</v>
      </c>
      <c r="M75" s="118">
        <v>3209666848</v>
      </c>
    </row>
    <row r="76" spans="1:13" ht="12.75">
      <c r="A76" s="39" t="s">
        <v>206</v>
      </c>
      <c r="B76" s="35" t="s">
        <v>201</v>
      </c>
      <c r="C76" s="36" t="s">
        <v>202</v>
      </c>
      <c r="D76" s="233">
        <v>0.159</v>
      </c>
      <c r="E76" s="244">
        <f t="shared" si="1"/>
        <v>4.6684227586206895</v>
      </c>
      <c r="F76" s="37"/>
      <c r="G76" s="37"/>
      <c r="H76" s="37"/>
      <c r="I76" s="37"/>
      <c r="J76" s="37"/>
      <c r="K76" s="37"/>
      <c r="L76" s="100" t="s">
        <v>271</v>
      </c>
      <c r="M76" s="118">
        <v>3212211696</v>
      </c>
    </row>
    <row r="77" spans="1:13" ht="12.75">
      <c r="A77" s="39" t="s">
        <v>209</v>
      </c>
      <c r="B77" s="35" t="s">
        <v>204</v>
      </c>
      <c r="C77" s="36" t="s">
        <v>205</v>
      </c>
      <c r="D77" s="233">
        <v>0.88</v>
      </c>
      <c r="E77" s="244">
        <f t="shared" si="1"/>
        <v>25.837811494252872</v>
      </c>
      <c r="F77" s="37"/>
      <c r="G77" s="37"/>
      <c r="H77" s="37"/>
      <c r="I77" s="37"/>
      <c r="J77" s="37"/>
      <c r="K77" s="37"/>
      <c r="L77" s="100" t="s">
        <v>271</v>
      </c>
      <c r="M77" s="118">
        <v>3204034361</v>
      </c>
    </row>
    <row r="78" spans="1:13" ht="12.75">
      <c r="A78" s="39" t="s">
        <v>212</v>
      </c>
      <c r="B78" s="35" t="s">
        <v>207</v>
      </c>
      <c r="C78" s="36" t="s">
        <v>208</v>
      </c>
      <c r="D78" s="233">
        <v>0.688</v>
      </c>
      <c r="E78" s="244">
        <f t="shared" si="1"/>
        <v>20.2004708045977</v>
      </c>
      <c r="F78" s="37"/>
      <c r="G78" s="37"/>
      <c r="H78" s="37"/>
      <c r="I78" s="37"/>
      <c r="J78" s="37"/>
      <c r="K78" s="37"/>
      <c r="L78" s="277" t="s">
        <v>278</v>
      </c>
      <c r="M78" s="118">
        <v>3203218021</v>
      </c>
    </row>
    <row r="79" spans="1:13" ht="12.75">
      <c r="A79" s="39" t="s">
        <v>215</v>
      </c>
      <c r="B79" s="35" t="s">
        <v>224</v>
      </c>
      <c r="C79" s="36" t="s">
        <v>225</v>
      </c>
      <c r="D79" s="233">
        <v>2.352</v>
      </c>
      <c r="E79" s="244">
        <f t="shared" si="1"/>
        <v>69.05742344827586</v>
      </c>
      <c r="F79" s="37"/>
      <c r="G79" s="37"/>
      <c r="H79" s="37"/>
      <c r="I79" s="37"/>
      <c r="J79" s="37"/>
      <c r="K79" s="37"/>
      <c r="L79" s="100" t="s">
        <v>271</v>
      </c>
      <c r="M79" s="118">
        <v>3204010433</v>
      </c>
    </row>
    <row r="80" spans="1:13" ht="12.75">
      <c r="A80" s="39" t="s">
        <v>218</v>
      </c>
      <c r="B80" s="35" t="s">
        <v>227</v>
      </c>
      <c r="C80" s="36" t="s">
        <v>228</v>
      </c>
      <c r="D80" s="233">
        <v>1.466</v>
      </c>
      <c r="E80" s="244">
        <f t="shared" si="1"/>
        <v>43.04344505747127</v>
      </c>
      <c r="F80" s="37"/>
      <c r="G80" s="37"/>
      <c r="H80" s="37"/>
      <c r="I80" s="37"/>
      <c r="J80" s="37"/>
      <c r="K80" s="37"/>
      <c r="L80" s="100" t="s">
        <v>271</v>
      </c>
      <c r="M80" s="118">
        <v>3204010191</v>
      </c>
    </row>
    <row r="81" spans="1:13" ht="12.75">
      <c r="A81" s="39" t="s">
        <v>219</v>
      </c>
      <c r="B81" s="35" t="s">
        <v>230</v>
      </c>
      <c r="C81" s="36" t="s">
        <v>231</v>
      </c>
      <c r="D81" s="233">
        <v>1.277</v>
      </c>
      <c r="E81" s="244">
        <f t="shared" si="1"/>
        <v>37.49418781609195</v>
      </c>
      <c r="F81" s="37"/>
      <c r="G81" s="37"/>
      <c r="H81" s="37"/>
      <c r="I81" s="37"/>
      <c r="J81" s="37"/>
      <c r="K81" s="37"/>
      <c r="L81" s="100" t="s">
        <v>271</v>
      </c>
      <c r="M81" s="118">
        <v>3203942467</v>
      </c>
    </row>
    <row r="82" spans="1:13" ht="12.75">
      <c r="A82" s="39" t="s">
        <v>220</v>
      </c>
      <c r="B82" s="35" t="s">
        <v>289</v>
      </c>
      <c r="C82" s="36" t="s">
        <v>388</v>
      </c>
      <c r="D82" s="233">
        <v>0.863</v>
      </c>
      <c r="E82" s="244">
        <f t="shared" si="1"/>
        <v>25.338671954022992</v>
      </c>
      <c r="F82" s="37"/>
      <c r="G82" s="37"/>
      <c r="H82" s="37"/>
      <c r="I82" s="37"/>
      <c r="J82" s="37"/>
      <c r="K82" s="37"/>
      <c r="L82" s="100" t="s">
        <v>277</v>
      </c>
      <c r="M82" s="118">
        <v>3206949158</v>
      </c>
    </row>
    <row r="83" spans="1:13" ht="12.75">
      <c r="A83" s="39" t="s">
        <v>223</v>
      </c>
      <c r="B83" s="35" t="s">
        <v>234</v>
      </c>
      <c r="C83" s="36" t="s">
        <v>235</v>
      </c>
      <c r="D83" s="233">
        <v>1.05</v>
      </c>
      <c r="E83" s="244">
        <f t="shared" si="1"/>
        <v>30.829206896551725</v>
      </c>
      <c r="F83" s="37"/>
      <c r="G83" s="37"/>
      <c r="H83" s="37"/>
      <c r="I83" s="37"/>
      <c r="J83" s="37"/>
      <c r="K83" s="37"/>
      <c r="L83" s="100" t="s">
        <v>271</v>
      </c>
      <c r="M83" s="118">
        <v>3204010505</v>
      </c>
    </row>
    <row r="84" spans="1:13" ht="12.75">
      <c r="A84" s="39" t="s">
        <v>226</v>
      </c>
      <c r="B84" s="35" t="s">
        <v>236</v>
      </c>
      <c r="C84" s="36" t="s">
        <v>237</v>
      </c>
      <c r="D84" s="233">
        <v>0.33</v>
      </c>
      <c r="E84" s="244">
        <f t="shared" si="1"/>
        <v>9.689179310344828</v>
      </c>
      <c r="F84" s="37"/>
      <c r="G84" s="37"/>
      <c r="H84" s="37"/>
      <c r="I84" s="37"/>
      <c r="J84" s="37"/>
      <c r="K84" s="37"/>
      <c r="L84" s="100" t="s">
        <v>271</v>
      </c>
      <c r="M84" s="118">
        <v>3204169869</v>
      </c>
    </row>
    <row r="85" spans="1:13" ht="12.75">
      <c r="A85" s="39" t="s">
        <v>229</v>
      </c>
      <c r="B85" s="35" t="s">
        <v>242</v>
      </c>
      <c r="C85" s="36" t="s">
        <v>243</v>
      </c>
      <c r="D85" s="233">
        <v>0.316</v>
      </c>
      <c r="E85" s="244">
        <f t="shared" si="1"/>
        <v>9.278123218390805</v>
      </c>
      <c r="F85" s="37"/>
      <c r="G85" s="37"/>
      <c r="H85" s="37"/>
      <c r="I85" s="37"/>
      <c r="J85" s="37"/>
      <c r="K85" s="37"/>
      <c r="L85" s="277" t="s">
        <v>279</v>
      </c>
      <c r="M85" s="118">
        <v>3200516734</v>
      </c>
    </row>
    <row r="86" spans="1:14" s="203" customFormat="1" ht="12.75">
      <c r="A86" s="39" t="s">
        <v>297</v>
      </c>
      <c r="B86" s="273" t="s">
        <v>390</v>
      </c>
      <c r="C86" s="274" t="s">
        <v>391</v>
      </c>
      <c r="D86" s="275">
        <v>0.795</v>
      </c>
      <c r="E86" s="271">
        <f t="shared" si="1"/>
        <v>23.34211379310345</v>
      </c>
      <c r="F86" s="198"/>
      <c r="G86" s="198"/>
      <c r="H86" s="198"/>
      <c r="I86" s="198"/>
      <c r="J86" s="198"/>
      <c r="K86" s="198"/>
      <c r="L86" s="272" t="s">
        <v>271</v>
      </c>
      <c r="M86" s="276"/>
      <c r="N86" s="202"/>
    </row>
    <row r="87" spans="1:14" s="203" customFormat="1" ht="12.75">
      <c r="A87" s="39" t="s">
        <v>300</v>
      </c>
      <c r="B87" s="273" t="s">
        <v>403</v>
      </c>
      <c r="C87" s="274" t="s">
        <v>394</v>
      </c>
      <c r="D87" s="275">
        <v>1.25</v>
      </c>
      <c r="E87" s="271">
        <f t="shared" si="1"/>
        <v>36.701436781609196</v>
      </c>
      <c r="F87" s="198"/>
      <c r="G87" s="198"/>
      <c r="H87" s="198"/>
      <c r="I87" s="198"/>
      <c r="J87" s="198"/>
      <c r="K87" s="198"/>
      <c r="L87" s="272" t="s">
        <v>271</v>
      </c>
      <c r="M87" s="276"/>
      <c r="N87" s="202"/>
    </row>
    <row r="88" spans="1:14" s="203" customFormat="1" ht="12.75">
      <c r="A88" s="39"/>
      <c r="B88" s="273"/>
      <c r="C88" s="274"/>
      <c r="D88" s="275"/>
      <c r="E88" s="271"/>
      <c r="F88" s="198"/>
      <c r="G88" s="198"/>
      <c r="H88" s="198"/>
      <c r="I88" s="198"/>
      <c r="J88" s="198"/>
      <c r="K88" s="198"/>
      <c r="L88" s="272"/>
      <c r="M88" s="276"/>
      <c r="N88" s="202"/>
    </row>
    <row r="89" spans="1:14" s="289" customFormat="1" ht="15.75">
      <c r="A89" s="280"/>
      <c r="B89" s="281" t="s">
        <v>238</v>
      </c>
      <c r="C89" s="282"/>
      <c r="D89" s="283"/>
      <c r="E89" s="284"/>
      <c r="F89" s="285">
        <f>SUM(F5:F86)</f>
        <v>0</v>
      </c>
      <c r="G89" s="285">
        <f>SUM(G5:G86)</f>
        <v>0</v>
      </c>
      <c r="H89" s="285">
        <f>SUM(H5:H86)</f>
        <v>0</v>
      </c>
      <c r="I89" s="285">
        <f>SUM(I5:I87)</f>
        <v>0</v>
      </c>
      <c r="J89" s="285">
        <f>SUM(J5:J86)</f>
        <v>0</v>
      </c>
      <c r="K89" s="285">
        <f>SUM(K5:K87)</f>
        <v>0</v>
      </c>
      <c r="L89" s="286"/>
      <c r="M89" s="287"/>
      <c r="N89" s="288"/>
    </row>
  </sheetData>
  <sheetProtection/>
  <printOptions/>
  <pageMargins left="0.7086614173228347" right="0.7086614173228347" top="0.23" bottom="0.31" header="0.24" footer="0.31"/>
  <pageSetup horizontalDpi="600" verticalDpi="600" orientation="landscape" paperSize="9" scale="90" r:id="rId1"/>
  <headerFooter alignWithMargins="0">
    <oddFooter>&amp;CStranica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89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K61" sqref="K61"/>
    </sheetView>
  </sheetViews>
  <sheetFormatPr defaultColWidth="9.140625" defaultRowHeight="15"/>
  <cols>
    <col min="1" max="1" width="3.421875" style="28" customWidth="1"/>
    <col min="2" max="2" width="20.421875" style="28" customWidth="1"/>
    <col min="3" max="3" width="4.57421875" style="28" customWidth="1"/>
    <col min="4" max="4" width="6.7109375" style="156" customWidth="1"/>
    <col min="5" max="5" width="10.00390625" style="238" customWidth="1"/>
    <col min="6" max="8" width="12.57421875" style="28" customWidth="1"/>
    <col min="9" max="9" width="13.7109375" style="28" customWidth="1"/>
    <col min="10" max="10" width="14.28125" style="28" customWidth="1"/>
    <col min="11" max="11" width="11.7109375" style="28" customWidth="1"/>
    <col min="12" max="12" width="8.8515625" style="105" customWidth="1"/>
    <col min="13" max="13" width="13.7109375" style="116" customWidth="1"/>
    <col min="14" max="14" width="8.421875" style="115" customWidth="1"/>
    <col min="15" max="16384" width="9.140625" style="28" customWidth="1"/>
  </cols>
  <sheetData>
    <row r="2" spans="1:2" ht="12.75">
      <c r="A2" s="427" t="s">
        <v>405</v>
      </c>
      <c r="B2" s="427"/>
    </row>
    <row r="3" ht="11.25" customHeight="1">
      <c r="E3" s="237"/>
    </row>
    <row r="4" spans="1:14" s="297" customFormat="1" ht="37.5" customHeight="1">
      <c r="A4" s="290" t="s">
        <v>292</v>
      </c>
      <c r="B4" s="290" t="s">
        <v>17</v>
      </c>
      <c r="C4" s="290" t="s">
        <v>254</v>
      </c>
      <c r="D4" s="291" t="s">
        <v>290</v>
      </c>
      <c r="E4" s="292" t="s">
        <v>392</v>
      </c>
      <c r="F4" s="293" t="s">
        <v>396</v>
      </c>
      <c r="G4" s="294" t="s">
        <v>397</v>
      </c>
      <c r="H4" s="290" t="s">
        <v>398</v>
      </c>
      <c r="I4" s="293" t="s">
        <v>402</v>
      </c>
      <c r="J4" s="290" t="s">
        <v>400</v>
      </c>
      <c r="K4" s="290" t="s">
        <v>401</v>
      </c>
      <c r="L4" s="295" t="s">
        <v>270</v>
      </c>
      <c r="M4" s="290" t="s">
        <v>280</v>
      </c>
      <c r="N4" s="296"/>
    </row>
    <row r="5" spans="1:13" ht="12.75">
      <c r="A5" s="39" t="s">
        <v>1</v>
      </c>
      <c r="B5" s="35" t="s">
        <v>29</v>
      </c>
      <c r="C5" s="36" t="s">
        <v>31</v>
      </c>
      <c r="D5" s="233">
        <v>1.649</v>
      </c>
      <c r="E5" s="244">
        <f aca="true" t="shared" si="0" ref="E5:E48">D5*5108.84/174</f>
        <v>48.416535402298855</v>
      </c>
      <c r="F5" s="37"/>
      <c r="G5" s="37"/>
      <c r="H5" s="37"/>
      <c r="I5" s="37"/>
      <c r="J5" s="37"/>
      <c r="K5" s="37">
        <v>250</v>
      </c>
      <c r="L5" s="100" t="s">
        <v>271</v>
      </c>
      <c r="M5" s="118">
        <v>3204010046</v>
      </c>
    </row>
    <row r="6" spans="1:13" ht="12.75">
      <c r="A6" s="39" t="s">
        <v>2</v>
      </c>
      <c r="B6" s="35" t="s">
        <v>33</v>
      </c>
      <c r="C6" s="36" t="s">
        <v>32</v>
      </c>
      <c r="D6" s="233">
        <v>1.585</v>
      </c>
      <c r="E6" s="244">
        <f t="shared" si="0"/>
        <v>46.53742183908046</v>
      </c>
      <c r="F6" s="37"/>
      <c r="G6" s="37"/>
      <c r="H6" s="37"/>
      <c r="I6" s="37"/>
      <c r="J6" s="37"/>
      <c r="K6" s="37">
        <v>250</v>
      </c>
      <c r="L6" s="100" t="s">
        <v>271</v>
      </c>
      <c r="M6" s="118">
        <v>3204009691</v>
      </c>
    </row>
    <row r="7" spans="1:13" ht="12.75">
      <c r="A7" s="39" t="s">
        <v>3</v>
      </c>
      <c r="B7" s="35" t="s">
        <v>34</v>
      </c>
      <c r="C7" s="36" t="s">
        <v>35</v>
      </c>
      <c r="D7" s="233">
        <v>1.565</v>
      </c>
      <c r="E7" s="244">
        <f t="shared" si="0"/>
        <v>45.950198850574715</v>
      </c>
      <c r="F7" s="37"/>
      <c r="G7" s="37"/>
      <c r="H7" s="37"/>
      <c r="I7" s="37"/>
      <c r="J7" s="37"/>
      <c r="K7" s="37">
        <v>807</v>
      </c>
      <c r="L7" s="100" t="s">
        <v>272</v>
      </c>
      <c r="M7" s="118">
        <v>3220485615</v>
      </c>
    </row>
    <row r="8" spans="1:13" ht="12.75">
      <c r="A8" s="39" t="s">
        <v>4</v>
      </c>
      <c r="B8" s="35" t="s">
        <v>36</v>
      </c>
      <c r="C8" s="36" t="s">
        <v>37</v>
      </c>
      <c r="D8" s="233">
        <v>1.656</v>
      </c>
      <c r="E8" s="244">
        <f t="shared" si="0"/>
        <v>48.62206344827587</v>
      </c>
      <c r="F8" s="37"/>
      <c r="G8" s="37"/>
      <c r="H8" s="37"/>
      <c r="I8" s="37"/>
      <c r="J8" s="37"/>
      <c r="K8" s="37">
        <v>250</v>
      </c>
      <c r="L8" s="100" t="s">
        <v>271</v>
      </c>
      <c r="M8" s="118">
        <v>3204010214</v>
      </c>
    </row>
    <row r="9" spans="1:13" ht="12.75">
      <c r="A9" s="39" t="s">
        <v>5</v>
      </c>
      <c r="B9" s="35" t="s">
        <v>38</v>
      </c>
      <c r="C9" s="36" t="s">
        <v>39</v>
      </c>
      <c r="D9" s="233">
        <v>1.635</v>
      </c>
      <c r="E9" s="244">
        <f t="shared" si="0"/>
        <v>48.00547931034483</v>
      </c>
      <c r="F9" s="37"/>
      <c r="G9" s="37"/>
      <c r="H9" s="37"/>
      <c r="I9" s="37"/>
      <c r="J9" s="37"/>
      <c r="K9" s="37"/>
      <c r="L9" s="100" t="s">
        <v>271</v>
      </c>
      <c r="M9" s="118">
        <v>3204010327</v>
      </c>
    </row>
    <row r="10" spans="1:13" ht="12.75">
      <c r="A10" s="39" t="s">
        <v>6</v>
      </c>
      <c r="B10" s="35" t="s">
        <v>40</v>
      </c>
      <c r="C10" s="36" t="s">
        <v>41</v>
      </c>
      <c r="D10" s="233">
        <v>1.425</v>
      </c>
      <c r="E10" s="244">
        <f t="shared" si="0"/>
        <v>41.83963793103449</v>
      </c>
      <c r="F10" s="37"/>
      <c r="G10" s="37"/>
      <c r="H10" s="37"/>
      <c r="I10" s="37"/>
      <c r="J10" s="37"/>
      <c r="K10" s="37"/>
      <c r="L10" s="100" t="s">
        <v>271</v>
      </c>
      <c r="M10" s="118">
        <v>3204017738</v>
      </c>
    </row>
    <row r="11" spans="1:13" ht="12.75">
      <c r="A11" s="39" t="s">
        <v>7</v>
      </c>
      <c r="B11" s="35" t="s">
        <v>42</v>
      </c>
      <c r="C11" s="36" t="s">
        <v>43</v>
      </c>
      <c r="D11" s="233">
        <v>1.677</v>
      </c>
      <c r="E11" s="244">
        <f t="shared" si="0"/>
        <v>49.2386475862069</v>
      </c>
      <c r="F11" s="37"/>
      <c r="G11" s="37"/>
      <c r="H11" s="37"/>
      <c r="I11" s="37"/>
      <c r="J11" s="37"/>
      <c r="K11" s="37"/>
      <c r="L11" s="100" t="s">
        <v>271</v>
      </c>
      <c r="M11" s="118">
        <v>3204010476</v>
      </c>
    </row>
    <row r="12" spans="1:13" ht="12.75">
      <c r="A12" s="39" t="s">
        <v>8</v>
      </c>
      <c r="B12" s="35" t="s">
        <v>44</v>
      </c>
      <c r="C12" s="36" t="s">
        <v>45</v>
      </c>
      <c r="D12" s="233">
        <v>1.464</v>
      </c>
      <c r="E12" s="244">
        <f t="shared" si="0"/>
        <v>42.98472275862069</v>
      </c>
      <c r="F12" s="37"/>
      <c r="G12" s="37"/>
      <c r="H12" s="37"/>
      <c r="I12" s="37"/>
      <c r="J12" s="37"/>
      <c r="K12" s="37">
        <v>250</v>
      </c>
      <c r="L12" s="100" t="s">
        <v>271</v>
      </c>
      <c r="M12" s="118">
        <v>3204010484</v>
      </c>
    </row>
    <row r="13" spans="1:13" ht="12.75">
      <c r="A13" s="39" t="s">
        <v>9</v>
      </c>
      <c r="B13" s="35" t="s">
        <v>47</v>
      </c>
      <c r="C13" s="36" t="s">
        <v>48</v>
      </c>
      <c r="D13" s="233">
        <v>1.425</v>
      </c>
      <c r="E13" s="244">
        <f t="shared" si="0"/>
        <v>41.83963793103449</v>
      </c>
      <c r="F13" s="37"/>
      <c r="G13" s="37"/>
      <c r="H13" s="37"/>
      <c r="I13" s="37"/>
      <c r="J13" s="37"/>
      <c r="K13" s="37"/>
      <c r="L13" s="100" t="s">
        <v>271</v>
      </c>
      <c r="M13" s="118">
        <v>3204016384</v>
      </c>
    </row>
    <row r="14" spans="1:13" ht="12.75">
      <c r="A14" s="39" t="s">
        <v>30</v>
      </c>
      <c r="B14" s="35" t="s">
        <v>248</v>
      </c>
      <c r="C14" s="36" t="s">
        <v>249</v>
      </c>
      <c r="D14" s="233">
        <v>1.324</v>
      </c>
      <c r="E14" s="244">
        <f t="shared" si="0"/>
        <v>38.874161839080465</v>
      </c>
      <c r="F14" s="37"/>
      <c r="G14" s="37"/>
      <c r="H14" s="37"/>
      <c r="I14" s="37"/>
      <c r="J14" s="37"/>
      <c r="K14" s="37">
        <v>600</v>
      </c>
      <c r="L14" s="100" t="s">
        <v>275</v>
      </c>
      <c r="M14" s="118">
        <v>3223040861</v>
      </c>
    </row>
    <row r="15" spans="1:14" s="203" customFormat="1" ht="12.75">
      <c r="A15" s="39" t="s">
        <v>10</v>
      </c>
      <c r="B15" s="273" t="s">
        <v>49</v>
      </c>
      <c r="C15" s="274" t="s">
        <v>50</v>
      </c>
      <c r="D15" s="275">
        <v>1.408</v>
      </c>
      <c r="E15" s="244">
        <f t="shared" si="0"/>
        <v>41.3404983908046</v>
      </c>
      <c r="F15" s="37"/>
      <c r="G15" s="198"/>
      <c r="H15" s="198"/>
      <c r="I15" s="37"/>
      <c r="J15" s="198"/>
      <c r="K15" s="198">
        <v>650</v>
      </c>
      <c r="L15" s="272" t="s">
        <v>271</v>
      </c>
      <c r="M15" s="276">
        <v>3203991914</v>
      </c>
      <c r="N15" s="202"/>
    </row>
    <row r="16" spans="1:13" ht="12.75">
      <c r="A16" s="39" t="s">
        <v>11</v>
      </c>
      <c r="B16" s="35" t="s">
        <v>251</v>
      </c>
      <c r="C16" s="36" t="s">
        <v>53</v>
      </c>
      <c r="D16" s="233">
        <v>1.324</v>
      </c>
      <c r="E16" s="244">
        <f t="shared" si="0"/>
        <v>38.874161839080465</v>
      </c>
      <c r="F16" s="37"/>
      <c r="G16" s="37"/>
      <c r="H16" s="37"/>
      <c r="I16" s="37"/>
      <c r="J16" s="37"/>
      <c r="K16" s="37">
        <v>650</v>
      </c>
      <c r="L16" s="100" t="s">
        <v>274</v>
      </c>
      <c r="M16" s="118">
        <v>3201084947</v>
      </c>
    </row>
    <row r="17" spans="1:13" ht="12.75">
      <c r="A17" s="39" t="s">
        <v>12</v>
      </c>
      <c r="B17" s="35" t="s">
        <v>54</v>
      </c>
      <c r="C17" s="36" t="s">
        <v>55</v>
      </c>
      <c r="D17" s="233">
        <v>1.37</v>
      </c>
      <c r="E17" s="244">
        <f t="shared" si="0"/>
        <v>40.22477471264368</v>
      </c>
      <c r="F17" s="37"/>
      <c r="G17" s="37"/>
      <c r="H17" s="37"/>
      <c r="I17" s="37"/>
      <c r="J17" s="37"/>
      <c r="K17" s="37">
        <v>600</v>
      </c>
      <c r="L17" s="100" t="s">
        <v>271</v>
      </c>
      <c r="M17" s="118">
        <v>3207503041</v>
      </c>
    </row>
    <row r="18" spans="1:13" ht="12.75">
      <c r="A18" s="39" t="s">
        <v>13</v>
      </c>
      <c r="B18" s="35" t="s">
        <v>56</v>
      </c>
      <c r="C18" s="36" t="s">
        <v>57</v>
      </c>
      <c r="D18" s="233">
        <v>1.656</v>
      </c>
      <c r="E18" s="244">
        <f t="shared" si="0"/>
        <v>48.62206344827587</v>
      </c>
      <c r="F18" s="37"/>
      <c r="G18" s="37"/>
      <c r="H18" s="37"/>
      <c r="I18" s="37"/>
      <c r="J18" s="37"/>
      <c r="K18" s="37"/>
      <c r="L18" s="100" t="s">
        <v>271</v>
      </c>
      <c r="M18" s="118">
        <v>3204074301</v>
      </c>
    </row>
    <row r="19" spans="1:13" ht="12.75">
      <c r="A19" s="39" t="s">
        <v>14</v>
      </c>
      <c r="B19" s="35" t="s">
        <v>246</v>
      </c>
      <c r="C19" s="36" t="s">
        <v>247</v>
      </c>
      <c r="D19" s="233">
        <v>1.348</v>
      </c>
      <c r="E19" s="244">
        <f t="shared" si="0"/>
        <v>39.57882942528736</v>
      </c>
      <c r="F19" s="37"/>
      <c r="G19" s="37"/>
      <c r="H19" s="37"/>
      <c r="I19" s="37"/>
      <c r="J19" s="37"/>
      <c r="K19" s="37">
        <v>600</v>
      </c>
      <c r="L19" s="100" t="s">
        <v>275</v>
      </c>
      <c r="M19" s="118">
        <v>3221235503</v>
      </c>
    </row>
    <row r="20" spans="1:13" ht="12.75">
      <c r="A20" s="39" t="s">
        <v>15</v>
      </c>
      <c r="B20" s="35" t="s">
        <v>102</v>
      </c>
      <c r="C20" s="36" t="s">
        <v>103</v>
      </c>
      <c r="D20" s="233">
        <v>1.342</v>
      </c>
      <c r="E20" s="244">
        <f t="shared" si="0"/>
        <v>39.40266252873563</v>
      </c>
      <c r="F20" s="37"/>
      <c r="G20" s="37"/>
      <c r="H20" s="37"/>
      <c r="I20" s="37"/>
      <c r="J20" s="37"/>
      <c r="K20" s="37">
        <v>250</v>
      </c>
      <c r="L20" s="100" t="s">
        <v>275</v>
      </c>
      <c r="M20" s="118">
        <v>3223516627</v>
      </c>
    </row>
    <row r="21" spans="1:13" ht="12.75">
      <c r="A21" s="39" t="s">
        <v>16</v>
      </c>
      <c r="B21" s="35" t="s">
        <v>244</v>
      </c>
      <c r="C21" s="36" t="s">
        <v>245</v>
      </c>
      <c r="D21" s="233">
        <v>1.335</v>
      </c>
      <c r="E21" s="244">
        <f t="shared" si="0"/>
        <v>39.19713448275862</v>
      </c>
      <c r="F21" s="37"/>
      <c r="G21" s="37"/>
      <c r="H21" s="37"/>
      <c r="I21" s="37"/>
      <c r="J21" s="37"/>
      <c r="K21" s="37">
        <v>830</v>
      </c>
      <c r="L21" s="100" t="s">
        <v>271</v>
      </c>
      <c r="M21" s="118">
        <v>3204141898</v>
      </c>
    </row>
    <row r="22" spans="1:13" ht="12.75">
      <c r="A22" s="39" t="s">
        <v>58</v>
      </c>
      <c r="B22" s="35" t="s">
        <v>252</v>
      </c>
      <c r="C22" s="36" t="s">
        <v>62</v>
      </c>
      <c r="D22" s="233">
        <v>1.322</v>
      </c>
      <c r="E22" s="244">
        <f t="shared" si="0"/>
        <v>38.81543954022989</v>
      </c>
      <c r="F22" s="37"/>
      <c r="G22" s="37"/>
      <c r="H22" s="37"/>
      <c r="I22" s="37"/>
      <c r="J22" s="37"/>
      <c r="K22" s="37">
        <v>810</v>
      </c>
      <c r="L22" s="100" t="s">
        <v>271</v>
      </c>
      <c r="M22" s="118">
        <v>3209826266</v>
      </c>
    </row>
    <row r="23" spans="1:13" ht="12.75">
      <c r="A23" s="39" t="s">
        <v>61</v>
      </c>
      <c r="B23" s="35" t="s">
        <v>64</v>
      </c>
      <c r="C23" s="36" t="s">
        <v>65</v>
      </c>
      <c r="D23" s="233">
        <v>1.316</v>
      </c>
      <c r="E23" s="244">
        <f t="shared" si="0"/>
        <v>38.63927264367817</v>
      </c>
      <c r="F23" s="37"/>
      <c r="G23" s="37"/>
      <c r="H23" s="37"/>
      <c r="I23" s="37"/>
      <c r="J23" s="37"/>
      <c r="K23" s="37">
        <v>600</v>
      </c>
      <c r="L23" s="100" t="s">
        <v>271</v>
      </c>
      <c r="M23" s="118">
        <v>3206487143</v>
      </c>
    </row>
    <row r="24" spans="1:13" ht="12.75">
      <c r="A24" s="39" t="s">
        <v>63</v>
      </c>
      <c r="B24" s="35" t="s">
        <v>67</v>
      </c>
      <c r="C24" s="36" t="s">
        <v>68</v>
      </c>
      <c r="D24" s="233">
        <v>1.316</v>
      </c>
      <c r="E24" s="244">
        <f t="shared" si="0"/>
        <v>38.63927264367817</v>
      </c>
      <c r="F24" s="37"/>
      <c r="G24" s="37"/>
      <c r="H24" s="37"/>
      <c r="I24" s="37"/>
      <c r="J24" s="37"/>
      <c r="K24" s="37">
        <v>830</v>
      </c>
      <c r="L24" s="100" t="s">
        <v>276</v>
      </c>
      <c r="M24" s="118">
        <v>3251666018</v>
      </c>
    </row>
    <row r="25" spans="1:13" ht="12.75">
      <c r="A25" s="39" t="s">
        <v>66</v>
      </c>
      <c r="B25" s="35" t="s">
        <v>213</v>
      </c>
      <c r="C25" s="36" t="s">
        <v>214</v>
      </c>
      <c r="D25" s="233">
        <v>1.329</v>
      </c>
      <c r="E25" s="244">
        <f t="shared" si="0"/>
        <v>39.0209675862069</v>
      </c>
      <c r="F25" s="37"/>
      <c r="G25" s="37"/>
      <c r="H25" s="37"/>
      <c r="I25" s="37"/>
      <c r="J25" s="37"/>
      <c r="K25" s="37"/>
      <c r="L25" s="100" t="s">
        <v>271</v>
      </c>
      <c r="M25" s="118">
        <v>3207325476</v>
      </c>
    </row>
    <row r="26" spans="1:13" ht="12.75">
      <c r="A26" s="39" t="s">
        <v>69</v>
      </c>
      <c r="B26" s="35" t="s">
        <v>70</v>
      </c>
      <c r="C26" s="36" t="s">
        <v>71</v>
      </c>
      <c r="D26" s="233">
        <v>1.322</v>
      </c>
      <c r="E26" s="244">
        <f t="shared" si="0"/>
        <v>38.81543954022989</v>
      </c>
      <c r="F26" s="37"/>
      <c r="G26" s="37"/>
      <c r="H26" s="37"/>
      <c r="I26" s="37"/>
      <c r="J26" s="37"/>
      <c r="K26" s="37">
        <v>650</v>
      </c>
      <c r="L26" s="100" t="s">
        <v>271</v>
      </c>
      <c r="M26" s="118">
        <v>3209339880</v>
      </c>
    </row>
    <row r="27" spans="1:13" ht="12.75">
      <c r="A27" s="39" t="s">
        <v>72</v>
      </c>
      <c r="B27" s="35" t="s">
        <v>73</v>
      </c>
      <c r="C27" s="36" t="s">
        <v>74</v>
      </c>
      <c r="D27" s="233">
        <v>1.656</v>
      </c>
      <c r="E27" s="244">
        <f t="shared" si="0"/>
        <v>48.62206344827587</v>
      </c>
      <c r="F27" s="37"/>
      <c r="G27" s="37"/>
      <c r="H27" s="37"/>
      <c r="I27" s="37"/>
      <c r="J27" s="37"/>
      <c r="K27" s="37">
        <v>768</v>
      </c>
      <c r="L27" s="100" t="s">
        <v>271</v>
      </c>
      <c r="M27" s="118">
        <v>3204051514</v>
      </c>
    </row>
    <row r="28" spans="1:13" ht="12.75">
      <c r="A28" s="39" t="s">
        <v>75</v>
      </c>
      <c r="B28" s="35" t="s">
        <v>239</v>
      </c>
      <c r="C28" s="36" t="s">
        <v>76</v>
      </c>
      <c r="D28" s="233">
        <v>1.582</v>
      </c>
      <c r="E28" s="244">
        <f t="shared" si="0"/>
        <v>46.4493383908046</v>
      </c>
      <c r="F28" s="37"/>
      <c r="G28" s="37"/>
      <c r="H28" s="37"/>
      <c r="I28" s="37"/>
      <c r="J28" s="37"/>
      <c r="K28" s="37">
        <v>250</v>
      </c>
      <c r="L28" s="100" t="s">
        <v>271</v>
      </c>
      <c r="M28" s="118">
        <v>3204010298</v>
      </c>
    </row>
    <row r="29" spans="1:13" ht="12.75">
      <c r="A29" s="39" t="s">
        <v>77</v>
      </c>
      <c r="B29" s="35" t="s">
        <v>78</v>
      </c>
      <c r="C29" s="36" t="s">
        <v>79</v>
      </c>
      <c r="D29" s="233">
        <v>1.696</v>
      </c>
      <c r="E29" s="244">
        <f t="shared" si="0"/>
        <v>49.79650942528736</v>
      </c>
      <c r="F29" s="37"/>
      <c r="G29" s="37"/>
      <c r="H29" s="37"/>
      <c r="I29" s="37"/>
      <c r="J29" s="37"/>
      <c r="K29" s="37"/>
      <c r="L29" s="100" t="s">
        <v>271</v>
      </c>
      <c r="M29" s="118">
        <v>3214138674</v>
      </c>
    </row>
    <row r="30" spans="1:13" ht="12.75">
      <c r="A30" s="39" t="s">
        <v>80</v>
      </c>
      <c r="B30" s="35" t="s">
        <v>84</v>
      </c>
      <c r="C30" s="36" t="s">
        <v>85</v>
      </c>
      <c r="D30" s="233">
        <v>1.296</v>
      </c>
      <c r="E30" s="244">
        <f t="shared" si="0"/>
        <v>38.05204965517242</v>
      </c>
      <c r="F30" s="37"/>
      <c r="G30" s="37"/>
      <c r="H30" s="37"/>
      <c r="I30" s="37"/>
      <c r="J30" s="37"/>
      <c r="K30" s="37">
        <v>250</v>
      </c>
      <c r="L30" s="100" t="s">
        <v>276</v>
      </c>
      <c r="M30" s="118">
        <v>3251589993</v>
      </c>
    </row>
    <row r="31" spans="1:13" ht="12.75">
      <c r="A31" s="39" t="s">
        <v>83</v>
      </c>
      <c r="B31" s="35" t="s">
        <v>87</v>
      </c>
      <c r="C31" s="36" t="s">
        <v>88</v>
      </c>
      <c r="D31" s="233">
        <v>1.649</v>
      </c>
      <c r="E31" s="244">
        <f t="shared" si="0"/>
        <v>48.416535402298855</v>
      </c>
      <c r="F31" s="37"/>
      <c r="G31" s="37"/>
      <c r="H31" s="37"/>
      <c r="I31" s="37"/>
      <c r="J31" s="37"/>
      <c r="K31" s="37"/>
      <c r="L31" s="100" t="s">
        <v>274</v>
      </c>
      <c r="M31" s="118">
        <v>3201084963</v>
      </c>
    </row>
    <row r="32" spans="1:13" ht="12.75">
      <c r="A32" s="39" t="s">
        <v>86</v>
      </c>
      <c r="B32" s="35" t="s">
        <v>90</v>
      </c>
      <c r="C32" s="36" t="s">
        <v>91</v>
      </c>
      <c r="D32" s="233">
        <v>1.67</v>
      </c>
      <c r="E32" s="244">
        <f t="shared" si="0"/>
        <v>49.03311954022989</v>
      </c>
      <c r="F32" s="37"/>
      <c r="G32" s="37"/>
      <c r="H32" s="37"/>
      <c r="I32" s="37"/>
      <c r="J32" s="37"/>
      <c r="K32" s="37"/>
      <c r="L32" s="100" t="s">
        <v>271</v>
      </c>
      <c r="M32" s="118">
        <v>3207034652</v>
      </c>
    </row>
    <row r="33" spans="1:13" ht="12.75">
      <c r="A33" s="39" t="s">
        <v>89</v>
      </c>
      <c r="B33" s="35" t="s">
        <v>94</v>
      </c>
      <c r="C33" s="36" t="s">
        <v>95</v>
      </c>
      <c r="D33" s="233">
        <v>1.54</v>
      </c>
      <c r="E33" s="244">
        <f t="shared" si="0"/>
        <v>45.216170114942535</v>
      </c>
      <c r="F33" s="37"/>
      <c r="G33" s="37"/>
      <c r="H33" s="37"/>
      <c r="I33" s="37"/>
      <c r="J33" s="37"/>
      <c r="K33" s="37">
        <v>250</v>
      </c>
      <c r="L33" s="100" t="s">
        <v>271</v>
      </c>
      <c r="M33" s="118">
        <v>3203938809</v>
      </c>
    </row>
    <row r="34" spans="1:13" ht="12.75">
      <c r="A34" s="39" t="s">
        <v>92</v>
      </c>
      <c r="B34" s="35" t="s">
        <v>221</v>
      </c>
      <c r="C34" s="36" t="s">
        <v>222</v>
      </c>
      <c r="D34" s="233">
        <v>1.309</v>
      </c>
      <c r="E34" s="244">
        <f t="shared" si="0"/>
        <v>38.43374459770115</v>
      </c>
      <c r="F34" s="37"/>
      <c r="G34" s="37"/>
      <c r="H34" s="37"/>
      <c r="I34" s="37"/>
      <c r="J34" s="37"/>
      <c r="K34" s="37">
        <v>1956</v>
      </c>
      <c r="L34" s="100" t="s">
        <v>276</v>
      </c>
      <c r="M34" s="118">
        <v>3243353856</v>
      </c>
    </row>
    <row r="35" spans="1:13" ht="12.75">
      <c r="A35" s="39" t="s">
        <v>93</v>
      </c>
      <c r="B35" s="35" t="s">
        <v>253</v>
      </c>
      <c r="C35" s="36" t="s">
        <v>97</v>
      </c>
      <c r="D35" s="233">
        <v>1.619</v>
      </c>
      <c r="E35" s="244">
        <f t="shared" si="0"/>
        <v>47.53570091954023</v>
      </c>
      <c r="F35" s="37"/>
      <c r="G35" s="37"/>
      <c r="H35" s="37"/>
      <c r="I35" s="37"/>
      <c r="J35" s="37"/>
      <c r="K35" s="37"/>
      <c r="L35" s="100" t="s">
        <v>274</v>
      </c>
      <c r="M35" s="118">
        <v>3201085064</v>
      </c>
    </row>
    <row r="36" spans="1:13" ht="12.75">
      <c r="A36" s="39" t="s">
        <v>96</v>
      </c>
      <c r="B36" s="35" t="s">
        <v>99</v>
      </c>
      <c r="C36" s="36" t="s">
        <v>100</v>
      </c>
      <c r="D36" s="233">
        <v>1.348</v>
      </c>
      <c r="E36" s="244">
        <f t="shared" si="0"/>
        <v>39.57882942528736</v>
      </c>
      <c r="F36" s="37"/>
      <c r="G36" s="37"/>
      <c r="H36" s="37"/>
      <c r="I36" s="37"/>
      <c r="J36" s="37"/>
      <c r="K36" s="37">
        <v>250</v>
      </c>
      <c r="L36" s="100" t="s">
        <v>275</v>
      </c>
      <c r="M36" s="118">
        <v>3238905542</v>
      </c>
    </row>
    <row r="37" spans="1:13" ht="12.75">
      <c r="A37" s="39" t="s">
        <v>98</v>
      </c>
      <c r="B37" s="35" t="s">
        <v>291</v>
      </c>
      <c r="C37" s="36" t="s">
        <v>106</v>
      </c>
      <c r="D37" s="233">
        <v>1.296</v>
      </c>
      <c r="E37" s="244">
        <f t="shared" si="0"/>
        <v>38.05204965517242</v>
      </c>
      <c r="F37" s="37"/>
      <c r="G37" s="37"/>
      <c r="H37" s="37"/>
      <c r="I37" s="37"/>
      <c r="J37" s="37"/>
      <c r="K37" s="37">
        <v>867</v>
      </c>
      <c r="L37" s="100" t="s">
        <v>275</v>
      </c>
      <c r="M37" s="118">
        <v>3223350187</v>
      </c>
    </row>
    <row r="38" spans="1:13" ht="12.75">
      <c r="A38" s="39" t="s">
        <v>101</v>
      </c>
      <c r="B38" s="35" t="s">
        <v>108</v>
      </c>
      <c r="C38" s="36" t="s">
        <v>109</v>
      </c>
      <c r="D38" s="233">
        <v>1.329</v>
      </c>
      <c r="E38" s="244">
        <f t="shared" si="0"/>
        <v>39.0209675862069</v>
      </c>
      <c r="F38" s="37"/>
      <c r="G38" s="37"/>
      <c r="H38" s="37"/>
      <c r="I38" s="37"/>
      <c r="J38" s="37"/>
      <c r="K38" s="37">
        <v>987</v>
      </c>
      <c r="L38" s="100" t="s">
        <v>274</v>
      </c>
      <c r="M38" s="118">
        <v>3201113074</v>
      </c>
    </row>
    <row r="39" spans="1:13" ht="12.75">
      <c r="A39" s="39" t="s">
        <v>104</v>
      </c>
      <c r="B39" s="35" t="s">
        <v>111</v>
      </c>
      <c r="C39" s="36" t="s">
        <v>112</v>
      </c>
      <c r="D39" s="233">
        <v>1.663</v>
      </c>
      <c r="E39" s="244">
        <f t="shared" si="0"/>
        <v>48.82759149425288</v>
      </c>
      <c r="F39" s="37"/>
      <c r="G39" s="37"/>
      <c r="H39" s="37"/>
      <c r="I39" s="37"/>
      <c r="J39" s="37"/>
      <c r="K39" s="37">
        <v>250</v>
      </c>
      <c r="L39" s="100" t="s">
        <v>271</v>
      </c>
      <c r="M39" s="118">
        <v>3204010417</v>
      </c>
    </row>
    <row r="40" spans="1:13" ht="12.75">
      <c r="A40" s="39" t="s">
        <v>107</v>
      </c>
      <c r="B40" s="35" t="s">
        <v>114</v>
      </c>
      <c r="C40" s="36" t="s">
        <v>115</v>
      </c>
      <c r="D40" s="233">
        <v>1.566</v>
      </c>
      <c r="E40" s="244">
        <f t="shared" si="0"/>
        <v>45.979560000000006</v>
      </c>
      <c r="F40" s="37"/>
      <c r="G40" s="37"/>
      <c r="H40" s="37"/>
      <c r="I40" s="37"/>
      <c r="J40" s="37"/>
      <c r="K40" s="37"/>
      <c r="L40" s="100" t="s">
        <v>271</v>
      </c>
      <c r="M40" s="118">
        <v>3204021743</v>
      </c>
    </row>
    <row r="41" spans="1:13" ht="12.75">
      <c r="A41" s="39" t="s">
        <v>110</v>
      </c>
      <c r="B41" s="35" t="s">
        <v>117</v>
      </c>
      <c r="C41" s="36" t="s">
        <v>118</v>
      </c>
      <c r="D41" s="233">
        <v>1.585</v>
      </c>
      <c r="E41" s="244">
        <f t="shared" si="0"/>
        <v>46.53742183908046</v>
      </c>
      <c r="F41" s="37"/>
      <c r="G41" s="37"/>
      <c r="H41" s="37"/>
      <c r="I41" s="37"/>
      <c r="J41" s="37"/>
      <c r="K41" s="37">
        <v>1316</v>
      </c>
      <c r="L41" s="100" t="s">
        <v>274</v>
      </c>
      <c r="M41" s="118">
        <v>3201085072</v>
      </c>
    </row>
    <row r="42" spans="1:13" ht="12.75">
      <c r="A42" s="39" t="s">
        <v>113</v>
      </c>
      <c r="B42" s="35" t="s">
        <v>120</v>
      </c>
      <c r="C42" s="36" t="s">
        <v>121</v>
      </c>
      <c r="D42" s="233">
        <v>1.316</v>
      </c>
      <c r="E42" s="244">
        <f t="shared" si="0"/>
        <v>38.63927264367817</v>
      </c>
      <c r="F42" s="37"/>
      <c r="G42" s="37"/>
      <c r="H42" s="37"/>
      <c r="I42" s="37"/>
      <c r="J42" s="37"/>
      <c r="K42" s="37">
        <v>250</v>
      </c>
      <c r="L42" s="100" t="s">
        <v>271</v>
      </c>
      <c r="M42" s="118">
        <v>3201227584</v>
      </c>
    </row>
    <row r="43" spans="1:13" ht="12.75">
      <c r="A43" s="39" t="s">
        <v>116</v>
      </c>
      <c r="B43" s="35" t="s">
        <v>123</v>
      </c>
      <c r="C43" s="36" t="s">
        <v>124</v>
      </c>
      <c r="D43" s="233">
        <v>0.781</v>
      </c>
      <c r="E43" s="244">
        <f t="shared" si="0"/>
        <v>22.931057701149427</v>
      </c>
      <c r="F43" s="37"/>
      <c r="G43" s="37"/>
      <c r="H43" s="37"/>
      <c r="I43" s="37"/>
      <c r="J43" s="37"/>
      <c r="K43" s="37"/>
      <c r="L43" s="100" t="s">
        <v>271</v>
      </c>
      <c r="M43" s="118">
        <v>3213573925</v>
      </c>
    </row>
    <row r="44" spans="1:13" ht="12.75">
      <c r="A44" s="39" t="s">
        <v>119</v>
      </c>
      <c r="B44" s="35" t="s">
        <v>126</v>
      </c>
      <c r="C44" s="36" t="s">
        <v>127</v>
      </c>
      <c r="D44" s="233">
        <v>1.642</v>
      </c>
      <c r="E44" s="244">
        <f t="shared" si="0"/>
        <v>48.21100735632184</v>
      </c>
      <c r="F44" s="37"/>
      <c r="G44" s="37"/>
      <c r="H44" s="37"/>
      <c r="I44" s="37"/>
      <c r="J44" s="37"/>
      <c r="K44" s="37">
        <v>250</v>
      </c>
      <c r="L44" s="100" t="s">
        <v>271</v>
      </c>
      <c r="M44" s="118">
        <v>3206953335</v>
      </c>
    </row>
    <row r="45" spans="1:13" ht="12.75">
      <c r="A45" s="39" t="s">
        <v>122</v>
      </c>
      <c r="B45" s="35" t="s">
        <v>129</v>
      </c>
      <c r="C45" s="36" t="s">
        <v>130</v>
      </c>
      <c r="D45" s="233">
        <v>1.89</v>
      </c>
      <c r="E45" s="244">
        <f t="shared" si="0"/>
        <v>55.4925724137931</v>
      </c>
      <c r="F45" s="37"/>
      <c r="G45" s="37"/>
      <c r="H45" s="37"/>
      <c r="I45" s="37"/>
      <c r="J45" s="37"/>
      <c r="K45" s="37">
        <v>250</v>
      </c>
      <c r="L45" s="100" t="s">
        <v>274</v>
      </c>
      <c r="M45" s="118">
        <v>3201085013</v>
      </c>
    </row>
    <row r="46" spans="1:13" ht="12.75">
      <c r="A46" s="39" t="s">
        <v>125</v>
      </c>
      <c r="B46" s="35" t="s">
        <v>250</v>
      </c>
      <c r="C46" s="36" t="s">
        <v>46</v>
      </c>
      <c r="D46" s="233">
        <v>1.505</v>
      </c>
      <c r="E46" s="244">
        <f t="shared" si="0"/>
        <v>44.18852988505747</v>
      </c>
      <c r="F46" s="37"/>
      <c r="G46" s="37"/>
      <c r="H46" s="37"/>
      <c r="I46" s="37"/>
      <c r="J46" s="37"/>
      <c r="K46" s="37">
        <v>600</v>
      </c>
      <c r="L46" s="100" t="s">
        <v>271</v>
      </c>
      <c r="M46" s="118">
        <v>3204035547</v>
      </c>
    </row>
    <row r="47" spans="1:13" ht="12.75">
      <c r="A47" s="39" t="s">
        <v>128</v>
      </c>
      <c r="B47" s="35" t="s">
        <v>132</v>
      </c>
      <c r="C47" s="36" t="s">
        <v>133</v>
      </c>
      <c r="D47" s="233">
        <v>1.568</v>
      </c>
      <c r="E47" s="244">
        <f t="shared" si="0"/>
        <v>46.038282298850575</v>
      </c>
      <c r="F47" s="37"/>
      <c r="G47" s="37"/>
      <c r="H47" s="37"/>
      <c r="I47" s="37"/>
      <c r="J47" s="37"/>
      <c r="K47" s="37">
        <v>810</v>
      </c>
      <c r="L47" s="100" t="s">
        <v>271</v>
      </c>
      <c r="M47" s="118">
        <v>3204010409</v>
      </c>
    </row>
    <row r="48" spans="1:13" ht="12.75">
      <c r="A48" s="39" t="s">
        <v>131</v>
      </c>
      <c r="B48" s="35" t="s">
        <v>135</v>
      </c>
      <c r="C48" s="36" t="s">
        <v>136</v>
      </c>
      <c r="D48" s="233">
        <v>1.415</v>
      </c>
      <c r="E48" s="244">
        <f t="shared" si="0"/>
        <v>41.54602643678161</v>
      </c>
      <c r="F48" s="37"/>
      <c r="G48" s="37"/>
      <c r="H48" s="37"/>
      <c r="I48" s="37"/>
      <c r="J48" s="37"/>
      <c r="K48" s="37">
        <v>250</v>
      </c>
      <c r="L48" s="100" t="s">
        <v>271</v>
      </c>
      <c r="M48" s="118">
        <v>3206725631</v>
      </c>
    </row>
    <row r="49" spans="1:14" s="297" customFormat="1" ht="37.5" customHeight="1">
      <c r="A49" s="290" t="s">
        <v>292</v>
      </c>
      <c r="B49" s="290" t="s">
        <v>17</v>
      </c>
      <c r="C49" s="290" t="s">
        <v>254</v>
      </c>
      <c r="D49" s="291" t="s">
        <v>290</v>
      </c>
      <c r="E49" s="292" t="s">
        <v>392</v>
      </c>
      <c r="F49" s="293" t="s">
        <v>396</v>
      </c>
      <c r="G49" s="294" t="s">
        <v>397</v>
      </c>
      <c r="H49" s="290" t="s">
        <v>398</v>
      </c>
      <c r="I49" s="293" t="s">
        <v>399</v>
      </c>
      <c r="J49" s="290" t="s">
        <v>400</v>
      </c>
      <c r="K49" s="290" t="s">
        <v>401</v>
      </c>
      <c r="L49" s="295" t="s">
        <v>270</v>
      </c>
      <c r="M49" s="290" t="s">
        <v>280</v>
      </c>
      <c r="N49" s="296"/>
    </row>
    <row r="50" spans="1:13" ht="12.75">
      <c r="A50" s="39" t="s">
        <v>134</v>
      </c>
      <c r="B50" s="35" t="s">
        <v>148</v>
      </c>
      <c r="C50" s="36" t="s">
        <v>149</v>
      </c>
      <c r="D50" s="233">
        <v>1.335</v>
      </c>
      <c r="E50" s="244">
        <f aca="true" t="shared" si="1" ref="E50:E86">D50*5108.84/174</f>
        <v>39.19713448275862</v>
      </c>
      <c r="F50" s="37"/>
      <c r="G50" s="37"/>
      <c r="H50" s="37"/>
      <c r="I50" s="37"/>
      <c r="J50" s="37"/>
      <c r="K50" s="37">
        <v>877</v>
      </c>
      <c r="L50" s="100" t="s">
        <v>277</v>
      </c>
      <c r="M50" s="118">
        <v>3206045226</v>
      </c>
    </row>
    <row r="51" spans="1:13" ht="12.75">
      <c r="A51" s="39" t="s">
        <v>137</v>
      </c>
      <c r="B51" s="35" t="s">
        <v>216</v>
      </c>
      <c r="C51" s="36" t="s">
        <v>217</v>
      </c>
      <c r="D51" s="233">
        <v>1.335</v>
      </c>
      <c r="E51" s="244">
        <f t="shared" si="1"/>
        <v>39.19713448275862</v>
      </c>
      <c r="F51" s="37"/>
      <c r="G51" s="37"/>
      <c r="H51" s="37"/>
      <c r="I51" s="37"/>
      <c r="J51" s="37"/>
      <c r="K51" s="37">
        <v>250</v>
      </c>
      <c r="L51" s="100" t="s">
        <v>275</v>
      </c>
      <c r="M51" s="118">
        <v>3220513030</v>
      </c>
    </row>
    <row r="52" spans="1:13" ht="12.75">
      <c r="A52" s="39" t="s">
        <v>140</v>
      </c>
      <c r="B52" s="35" t="s">
        <v>138</v>
      </c>
      <c r="C52" s="36" t="s">
        <v>139</v>
      </c>
      <c r="D52" s="233">
        <v>1.547</v>
      </c>
      <c r="E52" s="244">
        <f t="shared" si="1"/>
        <v>45.42169816091954</v>
      </c>
      <c r="F52" s="37"/>
      <c r="G52" s="37"/>
      <c r="H52" s="37"/>
      <c r="I52" s="37"/>
      <c r="J52" s="37"/>
      <c r="K52" s="37">
        <v>250</v>
      </c>
      <c r="L52" s="100" t="s">
        <v>271</v>
      </c>
      <c r="M52" s="118">
        <v>3204015058</v>
      </c>
    </row>
    <row r="53" spans="1:14" s="203" customFormat="1" ht="12.75">
      <c r="A53" s="39" t="s">
        <v>143</v>
      </c>
      <c r="B53" s="273" t="s">
        <v>296</v>
      </c>
      <c r="C53" s="274" t="s">
        <v>142</v>
      </c>
      <c r="D53" s="275">
        <v>1.376</v>
      </c>
      <c r="E53" s="244">
        <f t="shared" si="1"/>
        <v>40.4009416091954</v>
      </c>
      <c r="F53" s="198"/>
      <c r="G53" s="198"/>
      <c r="H53" s="198"/>
      <c r="I53" s="37"/>
      <c r="J53" s="198"/>
      <c r="K53" s="198"/>
      <c r="L53" s="272" t="s">
        <v>271</v>
      </c>
      <c r="M53" s="276">
        <v>3202927758</v>
      </c>
      <c r="N53" s="202"/>
    </row>
    <row r="54" spans="1:13" ht="12.75">
      <c r="A54" s="39" t="s">
        <v>144</v>
      </c>
      <c r="B54" s="35" t="s">
        <v>145</v>
      </c>
      <c r="C54" s="36" t="s">
        <v>146</v>
      </c>
      <c r="D54" s="233">
        <v>1.561</v>
      </c>
      <c r="E54" s="244">
        <f t="shared" si="1"/>
        <v>45.83275425287356</v>
      </c>
      <c r="F54" s="37"/>
      <c r="G54" s="37"/>
      <c r="H54" s="37"/>
      <c r="I54" s="37"/>
      <c r="J54" s="37"/>
      <c r="K54" s="37">
        <v>250</v>
      </c>
      <c r="L54" s="100" t="s">
        <v>271</v>
      </c>
      <c r="M54" s="118">
        <v>3203992312</v>
      </c>
    </row>
    <row r="55" spans="1:13" ht="12.75">
      <c r="A55" s="39" t="s">
        <v>147</v>
      </c>
      <c r="B55" s="35" t="s">
        <v>240</v>
      </c>
      <c r="C55" s="36" t="s">
        <v>241</v>
      </c>
      <c r="D55" s="233">
        <v>1.06</v>
      </c>
      <c r="E55" s="244">
        <f t="shared" si="1"/>
        <v>31.122818390804603</v>
      </c>
      <c r="F55" s="37"/>
      <c r="G55" s="37"/>
      <c r="H55" s="37"/>
      <c r="I55" s="37"/>
      <c r="J55" s="37"/>
      <c r="K55" s="37">
        <v>752</v>
      </c>
      <c r="L55" s="100" t="s">
        <v>271</v>
      </c>
      <c r="M55" s="118">
        <v>3205778577</v>
      </c>
    </row>
    <row r="56" spans="1:13" ht="12.75">
      <c r="A56" s="39" t="s">
        <v>150</v>
      </c>
      <c r="B56" s="35" t="s">
        <v>151</v>
      </c>
      <c r="C56" s="36" t="s">
        <v>152</v>
      </c>
      <c r="D56" s="233">
        <v>1.335</v>
      </c>
      <c r="E56" s="244">
        <f t="shared" si="1"/>
        <v>39.19713448275862</v>
      </c>
      <c r="F56" s="37"/>
      <c r="G56" s="37"/>
      <c r="H56" s="37"/>
      <c r="I56" s="37"/>
      <c r="J56" s="37"/>
      <c r="K56" s="37"/>
      <c r="L56" s="100" t="s">
        <v>273</v>
      </c>
      <c r="M56" s="118">
        <v>3234063231</v>
      </c>
    </row>
    <row r="57" spans="1:13" ht="12.75">
      <c r="A57" s="39" t="s">
        <v>153</v>
      </c>
      <c r="B57" s="35" t="s">
        <v>81</v>
      </c>
      <c r="C57" s="36" t="s">
        <v>82</v>
      </c>
      <c r="D57" s="233">
        <v>1.685</v>
      </c>
      <c r="E57" s="244">
        <f t="shared" si="1"/>
        <v>49.473536781609205</v>
      </c>
      <c r="F57" s="37"/>
      <c r="G57" s="37"/>
      <c r="H57" s="37"/>
      <c r="I57" s="37"/>
      <c r="J57" s="37"/>
      <c r="K57" s="37"/>
      <c r="L57" s="100" t="s">
        <v>274</v>
      </c>
      <c r="M57" s="118">
        <v>3201085021</v>
      </c>
    </row>
    <row r="58" spans="1:13" ht="12.75">
      <c r="A58" s="39" t="s">
        <v>156</v>
      </c>
      <c r="B58" s="35" t="s">
        <v>51</v>
      </c>
      <c r="C58" s="36" t="s">
        <v>52</v>
      </c>
      <c r="D58" s="233">
        <v>1.505</v>
      </c>
      <c r="E58" s="244">
        <f t="shared" si="1"/>
        <v>44.18852988505747</v>
      </c>
      <c r="F58" s="37"/>
      <c r="G58" s="37"/>
      <c r="H58" s="37"/>
      <c r="I58" s="37"/>
      <c r="J58" s="37"/>
      <c r="K58" s="37">
        <v>650</v>
      </c>
      <c r="L58" s="100" t="s">
        <v>273</v>
      </c>
      <c r="M58" s="118">
        <v>3226742777</v>
      </c>
    </row>
    <row r="59" spans="1:13" ht="12.75">
      <c r="A59" s="39" t="s">
        <v>157</v>
      </c>
      <c r="B59" s="35" t="s">
        <v>210</v>
      </c>
      <c r="C59" s="36" t="s">
        <v>211</v>
      </c>
      <c r="D59" s="233">
        <v>1.395</v>
      </c>
      <c r="E59" s="244">
        <f t="shared" si="1"/>
        <v>40.95880344827586</v>
      </c>
      <c r="F59" s="37"/>
      <c r="G59" s="37"/>
      <c r="H59" s="37"/>
      <c r="I59" s="37"/>
      <c r="J59" s="37"/>
      <c r="K59" s="37">
        <v>250</v>
      </c>
      <c r="L59" s="100" t="s">
        <v>276</v>
      </c>
      <c r="M59" s="118">
        <v>3242020709</v>
      </c>
    </row>
    <row r="60" spans="1:13" ht="12.75">
      <c r="A60" s="39" t="s">
        <v>160</v>
      </c>
      <c r="B60" s="35" t="s">
        <v>154</v>
      </c>
      <c r="C60" s="36" t="s">
        <v>155</v>
      </c>
      <c r="D60" s="233">
        <v>1.376</v>
      </c>
      <c r="E60" s="244">
        <f t="shared" si="1"/>
        <v>40.4009416091954</v>
      </c>
      <c r="F60" s="37"/>
      <c r="G60" s="37"/>
      <c r="H60" s="37"/>
      <c r="I60" s="37"/>
      <c r="J60" s="37"/>
      <c r="K60" s="37">
        <v>810</v>
      </c>
      <c r="L60" s="100" t="s">
        <v>271</v>
      </c>
      <c r="M60" s="118">
        <v>3204198345</v>
      </c>
    </row>
    <row r="61" spans="1:13" ht="12.75">
      <c r="A61" s="39" t="s">
        <v>161</v>
      </c>
      <c r="B61" s="35" t="s">
        <v>269</v>
      </c>
      <c r="C61" s="36" t="s">
        <v>281</v>
      </c>
      <c r="D61" s="233">
        <v>1.421</v>
      </c>
      <c r="E61" s="244">
        <f t="shared" si="1"/>
        <v>41.72219333333334</v>
      </c>
      <c r="F61" s="37"/>
      <c r="G61" s="37"/>
      <c r="H61" s="37"/>
      <c r="I61" s="37"/>
      <c r="J61" s="37"/>
      <c r="K61" s="37">
        <v>810</v>
      </c>
      <c r="L61" s="100" t="s">
        <v>271</v>
      </c>
      <c r="M61" s="118">
        <v>3204133135</v>
      </c>
    </row>
    <row r="62" spans="1:13" ht="12.75">
      <c r="A62" s="39" t="s">
        <v>164</v>
      </c>
      <c r="B62" s="35" t="s">
        <v>158</v>
      </c>
      <c r="C62" s="36" t="s">
        <v>159</v>
      </c>
      <c r="D62" s="233">
        <v>1.481</v>
      </c>
      <c r="E62" s="244">
        <f t="shared" si="1"/>
        <v>43.48386229885058</v>
      </c>
      <c r="F62" s="37"/>
      <c r="G62" s="37"/>
      <c r="H62" s="37"/>
      <c r="I62" s="37"/>
      <c r="J62" s="37"/>
      <c r="K62" s="37">
        <v>810</v>
      </c>
      <c r="L62" s="100" t="s">
        <v>273</v>
      </c>
      <c r="M62" s="118">
        <v>3234621398</v>
      </c>
    </row>
    <row r="63" spans="1:13" ht="12.75">
      <c r="A63" s="39" t="s">
        <v>167</v>
      </c>
      <c r="B63" s="35" t="s">
        <v>162</v>
      </c>
      <c r="C63" s="36" t="s">
        <v>163</v>
      </c>
      <c r="D63" s="233">
        <v>1.309</v>
      </c>
      <c r="E63" s="244">
        <f t="shared" si="1"/>
        <v>38.43374459770115</v>
      </c>
      <c r="F63" s="37"/>
      <c r="G63" s="37"/>
      <c r="H63" s="37"/>
      <c r="I63" s="37"/>
      <c r="J63" s="37"/>
      <c r="K63" s="37">
        <v>600</v>
      </c>
      <c r="L63" s="100" t="s">
        <v>271</v>
      </c>
      <c r="M63" s="118">
        <v>3204240808</v>
      </c>
    </row>
    <row r="64" spans="1:13" ht="12.75">
      <c r="A64" s="39" t="s">
        <v>170</v>
      </c>
      <c r="B64" s="35" t="s">
        <v>232</v>
      </c>
      <c r="C64" s="36" t="s">
        <v>233</v>
      </c>
      <c r="D64" s="233">
        <v>1.568</v>
      </c>
      <c r="E64" s="244">
        <f t="shared" si="1"/>
        <v>46.038282298850575</v>
      </c>
      <c r="F64" s="37"/>
      <c r="G64" s="37"/>
      <c r="H64" s="37"/>
      <c r="I64" s="37"/>
      <c r="J64" s="37"/>
      <c r="K64" s="37">
        <v>250</v>
      </c>
      <c r="L64" s="100" t="s">
        <v>271</v>
      </c>
      <c r="M64" s="118">
        <v>3203978191</v>
      </c>
    </row>
    <row r="65" spans="1:13" ht="12.75">
      <c r="A65" s="39" t="s">
        <v>173</v>
      </c>
      <c r="B65" s="35" t="s">
        <v>165</v>
      </c>
      <c r="C65" s="36" t="s">
        <v>166</v>
      </c>
      <c r="D65" s="233">
        <v>1.547</v>
      </c>
      <c r="E65" s="244">
        <f t="shared" si="1"/>
        <v>45.42169816091954</v>
      </c>
      <c r="F65" s="37"/>
      <c r="G65" s="37"/>
      <c r="H65" s="37"/>
      <c r="I65" s="37"/>
      <c r="J65" s="37"/>
      <c r="K65" s="37"/>
      <c r="L65" s="100" t="s">
        <v>271</v>
      </c>
      <c r="M65" s="118">
        <v>3204197043</v>
      </c>
    </row>
    <row r="66" spans="1:13" ht="12.75">
      <c r="A66" s="39" t="s">
        <v>176</v>
      </c>
      <c r="B66" s="35" t="s">
        <v>168</v>
      </c>
      <c r="C66" s="36" t="s">
        <v>169</v>
      </c>
      <c r="D66" s="233">
        <v>1.408</v>
      </c>
      <c r="E66" s="244">
        <f t="shared" si="1"/>
        <v>41.3404983908046</v>
      </c>
      <c r="F66" s="37"/>
      <c r="G66" s="37"/>
      <c r="H66" s="37"/>
      <c r="I66" s="37"/>
      <c r="J66" s="37"/>
      <c r="K66" s="37">
        <v>768</v>
      </c>
      <c r="L66" s="100" t="s">
        <v>271</v>
      </c>
      <c r="M66" s="118">
        <v>3204079515</v>
      </c>
    </row>
    <row r="67" spans="1:13" ht="12.75">
      <c r="A67" s="39" t="s">
        <v>179</v>
      </c>
      <c r="B67" s="35" t="s">
        <v>171</v>
      </c>
      <c r="C67" s="36" t="s">
        <v>172</v>
      </c>
      <c r="D67" s="233">
        <v>1.322</v>
      </c>
      <c r="E67" s="244">
        <f t="shared" si="1"/>
        <v>38.81543954022989</v>
      </c>
      <c r="F67" s="37"/>
      <c r="G67" s="37"/>
      <c r="H67" s="37"/>
      <c r="I67" s="37"/>
      <c r="J67" s="37"/>
      <c r="K67" s="37">
        <v>650</v>
      </c>
      <c r="L67" s="100" t="s">
        <v>271</v>
      </c>
      <c r="M67" s="118">
        <v>3209023009</v>
      </c>
    </row>
    <row r="68" spans="1:13" ht="12.75">
      <c r="A68" s="39" t="s">
        <v>182</v>
      </c>
      <c r="B68" s="35" t="s">
        <v>174</v>
      </c>
      <c r="C68" s="36" t="s">
        <v>175</v>
      </c>
      <c r="D68" s="233">
        <v>1.054</v>
      </c>
      <c r="E68" s="244">
        <f t="shared" si="1"/>
        <v>30.946651494252876</v>
      </c>
      <c r="F68" s="37"/>
      <c r="G68" s="37"/>
      <c r="H68" s="37"/>
      <c r="I68" s="37"/>
      <c r="J68" s="37"/>
      <c r="K68" s="37"/>
      <c r="L68" s="100" t="s">
        <v>271</v>
      </c>
      <c r="M68" s="118">
        <v>3204010100</v>
      </c>
    </row>
    <row r="69" spans="1:13" ht="12.75">
      <c r="A69" s="39" t="s">
        <v>185</v>
      </c>
      <c r="B69" s="35" t="s">
        <v>180</v>
      </c>
      <c r="C69" s="36" t="s">
        <v>181</v>
      </c>
      <c r="D69" s="233">
        <v>0.688</v>
      </c>
      <c r="E69" s="244">
        <f t="shared" si="1"/>
        <v>20.2004708045977</v>
      </c>
      <c r="F69" s="37"/>
      <c r="G69" s="37"/>
      <c r="H69" s="37"/>
      <c r="I69" s="37"/>
      <c r="J69" s="37"/>
      <c r="K69" s="37">
        <v>250</v>
      </c>
      <c r="L69" s="100" t="s">
        <v>271</v>
      </c>
      <c r="M69" s="118">
        <v>3204016235</v>
      </c>
    </row>
    <row r="70" spans="1:13" ht="12.75">
      <c r="A70" s="39" t="s">
        <v>188</v>
      </c>
      <c r="B70" s="35" t="s">
        <v>183</v>
      </c>
      <c r="C70" s="36" t="s">
        <v>184</v>
      </c>
      <c r="D70" s="233">
        <v>0.182</v>
      </c>
      <c r="E70" s="244">
        <f t="shared" si="1"/>
        <v>5.343729195402299</v>
      </c>
      <c r="F70" s="37"/>
      <c r="G70" s="37"/>
      <c r="H70" s="37"/>
      <c r="I70" s="37"/>
      <c r="J70" s="37"/>
      <c r="K70" s="37"/>
      <c r="L70" s="100" t="s">
        <v>271</v>
      </c>
      <c r="M70" s="118">
        <v>3204072195</v>
      </c>
    </row>
    <row r="71" spans="1:13" ht="12.75">
      <c r="A71" s="39" t="s">
        <v>191</v>
      </c>
      <c r="B71" s="35" t="s">
        <v>186</v>
      </c>
      <c r="C71" s="36" t="s">
        <v>187</v>
      </c>
      <c r="D71" s="233">
        <v>0.332</v>
      </c>
      <c r="E71" s="244">
        <f t="shared" si="1"/>
        <v>9.747901609195402</v>
      </c>
      <c r="F71" s="37"/>
      <c r="G71" s="37"/>
      <c r="H71" s="37"/>
      <c r="I71" s="37"/>
      <c r="J71" s="37"/>
      <c r="K71" s="37"/>
      <c r="L71" s="100" t="s">
        <v>271</v>
      </c>
      <c r="M71" s="118">
        <v>3204079960</v>
      </c>
    </row>
    <row r="72" spans="1:13" ht="12.75">
      <c r="A72" s="39" t="s">
        <v>194</v>
      </c>
      <c r="B72" s="35" t="s">
        <v>189</v>
      </c>
      <c r="C72" s="36" t="s">
        <v>190</v>
      </c>
      <c r="D72" s="233">
        <v>0.701</v>
      </c>
      <c r="E72" s="244">
        <f t="shared" si="1"/>
        <v>20.582165747126435</v>
      </c>
      <c r="F72" s="37"/>
      <c r="G72" s="37"/>
      <c r="H72" s="37"/>
      <c r="I72" s="37"/>
      <c r="J72" s="37"/>
      <c r="K72" s="37">
        <v>250</v>
      </c>
      <c r="L72" s="100" t="s">
        <v>271</v>
      </c>
      <c r="M72" s="118">
        <v>3203970986</v>
      </c>
    </row>
    <row r="73" spans="1:13" ht="12.75">
      <c r="A73" s="39" t="s">
        <v>197</v>
      </c>
      <c r="B73" s="35" t="s">
        <v>192</v>
      </c>
      <c r="C73" s="36" t="s">
        <v>193</v>
      </c>
      <c r="D73" s="233">
        <v>0.67</v>
      </c>
      <c r="E73" s="244">
        <f t="shared" si="1"/>
        <v>19.671970114942532</v>
      </c>
      <c r="F73" s="37"/>
      <c r="G73" s="37"/>
      <c r="H73" s="37"/>
      <c r="I73" s="37"/>
      <c r="J73" s="37"/>
      <c r="K73" s="37">
        <v>250</v>
      </c>
      <c r="L73" s="100" t="s">
        <v>271</v>
      </c>
      <c r="M73" s="118">
        <v>3204067208</v>
      </c>
    </row>
    <row r="74" spans="1:13" ht="12.75">
      <c r="A74" s="39" t="s">
        <v>200</v>
      </c>
      <c r="B74" s="35" t="s">
        <v>195</v>
      </c>
      <c r="C74" s="36" t="s">
        <v>196</v>
      </c>
      <c r="D74" s="233">
        <v>0.657</v>
      </c>
      <c r="E74" s="244">
        <f t="shared" si="1"/>
        <v>19.290275172413793</v>
      </c>
      <c r="F74" s="37"/>
      <c r="G74" s="37"/>
      <c r="H74" s="37"/>
      <c r="I74" s="37"/>
      <c r="J74" s="37"/>
      <c r="K74" s="37">
        <v>250</v>
      </c>
      <c r="L74" s="100" t="s">
        <v>271</v>
      </c>
      <c r="M74" s="118">
        <v>3204142989</v>
      </c>
    </row>
    <row r="75" spans="1:13" ht="12.75">
      <c r="A75" s="39" t="s">
        <v>203</v>
      </c>
      <c r="B75" s="35" t="s">
        <v>198</v>
      </c>
      <c r="C75" s="36" t="s">
        <v>199</v>
      </c>
      <c r="D75" s="233">
        <v>0.67</v>
      </c>
      <c r="E75" s="244">
        <f t="shared" si="1"/>
        <v>19.671970114942532</v>
      </c>
      <c r="F75" s="37"/>
      <c r="G75" s="37"/>
      <c r="H75" s="37"/>
      <c r="I75" s="37"/>
      <c r="J75" s="37"/>
      <c r="K75" s="37">
        <v>600</v>
      </c>
      <c r="L75" s="100" t="s">
        <v>271</v>
      </c>
      <c r="M75" s="118">
        <v>3209666848</v>
      </c>
    </row>
    <row r="76" spans="1:13" ht="12.75">
      <c r="A76" s="39" t="s">
        <v>206</v>
      </c>
      <c r="B76" s="35" t="s">
        <v>201</v>
      </c>
      <c r="C76" s="36" t="s">
        <v>202</v>
      </c>
      <c r="D76" s="233">
        <v>0.159</v>
      </c>
      <c r="E76" s="244">
        <f t="shared" si="1"/>
        <v>4.6684227586206895</v>
      </c>
      <c r="F76" s="37"/>
      <c r="G76" s="37"/>
      <c r="H76" s="37"/>
      <c r="I76" s="37"/>
      <c r="J76" s="37"/>
      <c r="K76" s="37"/>
      <c r="L76" s="100" t="s">
        <v>271</v>
      </c>
      <c r="M76" s="118">
        <v>3212211696</v>
      </c>
    </row>
    <row r="77" spans="1:13" ht="12.75">
      <c r="A77" s="39" t="s">
        <v>209</v>
      </c>
      <c r="B77" s="35" t="s">
        <v>204</v>
      </c>
      <c r="C77" s="36" t="s">
        <v>205</v>
      </c>
      <c r="D77" s="233">
        <v>0.88</v>
      </c>
      <c r="E77" s="244">
        <f t="shared" si="1"/>
        <v>25.837811494252872</v>
      </c>
      <c r="F77" s="37"/>
      <c r="G77" s="37"/>
      <c r="H77" s="37"/>
      <c r="I77" s="37"/>
      <c r="J77" s="37"/>
      <c r="K77" s="37">
        <v>850</v>
      </c>
      <c r="L77" s="100" t="s">
        <v>271</v>
      </c>
      <c r="M77" s="118">
        <v>3204034361</v>
      </c>
    </row>
    <row r="78" spans="1:13" ht="12.75">
      <c r="A78" s="39" t="s">
        <v>212</v>
      </c>
      <c r="B78" s="35" t="s">
        <v>207</v>
      </c>
      <c r="C78" s="36" t="s">
        <v>208</v>
      </c>
      <c r="D78" s="233">
        <v>0.688</v>
      </c>
      <c r="E78" s="244">
        <f t="shared" si="1"/>
        <v>20.2004708045977</v>
      </c>
      <c r="F78" s="37"/>
      <c r="G78" s="37"/>
      <c r="H78" s="37"/>
      <c r="I78" s="37"/>
      <c r="J78" s="37"/>
      <c r="K78" s="37">
        <v>250</v>
      </c>
      <c r="L78" s="277" t="s">
        <v>278</v>
      </c>
      <c r="M78" s="118">
        <v>3203218021</v>
      </c>
    </row>
    <row r="79" spans="1:13" ht="12.75">
      <c r="A79" s="39" t="s">
        <v>215</v>
      </c>
      <c r="B79" s="35" t="s">
        <v>224</v>
      </c>
      <c r="C79" s="36" t="s">
        <v>225</v>
      </c>
      <c r="D79" s="233">
        <v>2.352</v>
      </c>
      <c r="E79" s="244">
        <f t="shared" si="1"/>
        <v>69.05742344827586</v>
      </c>
      <c r="F79" s="37"/>
      <c r="G79" s="37"/>
      <c r="H79" s="37"/>
      <c r="I79" s="37"/>
      <c r="J79" s="37"/>
      <c r="K79" s="37">
        <v>810</v>
      </c>
      <c r="L79" s="100" t="s">
        <v>271</v>
      </c>
      <c r="M79" s="118">
        <v>3204010433</v>
      </c>
    </row>
    <row r="80" spans="1:13" ht="12.75">
      <c r="A80" s="39" t="s">
        <v>218</v>
      </c>
      <c r="B80" s="35" t="s">
        <v>227</v>
      </c>
      <c r="C80" s="36" t="s">
        <v>228</v>
      </c>
      <c r="D80" s="233">
        <v>1.466</v>
      </c>
      <c r="E80" s="244">
        <f t="shared" si="1"/>
        <v>43.04344505747127</v>
      </c>
      <c r="F80" s="37"/>
      <c r="G80" s="37"/>
      <c r="H80" s="37"/>
      <c r="I80" s="37"/>
      <c r="J80" s="37"/>
      <c r="K80" s="37">
        <v>250</v>
      </c>
      <c r="L80" s="100" t="s">
        <v>271</v>
      </c>
      <c r="M80" s="118">
        <v>3204010191</v>
      </c>
    </row>
    <row r="81" spans="1:13" ht="12.75">
      <c r="A81" s="39" t="s">
        <v>219</v>
      </c>
      <c r="B81" s="35" t="s">
        <v>230</v>
      </c>
      <c r="C81" s="36" t="s">
        <v>231</v>
      </c>
      <c r="D81" s="233">
        <v>1.277</v>
      </c>
      <c r="E81" s="244">
        <f t="shared" si="1"/>
        <v>37.49418781609195</v>
      </c>
      <c r="F81" s="37"/>
      <c r="G81" s="37"/>
      <c r="H81" s="37"/>
      <c r="I81" s="37"/>
      <c r="J81" s="37"/>
      <c r="K81" s="37">
        <v>250</v>
      </c>
      <c r="L81" s="100" t="s">
        <v>271</v>
      </c>
      <c r="M81" s="118">
        <v>3203942467</v>
      </c>
    </row>
    <row r="82" spans="1:13" ht="12.75">
      <c r="A82" s="39" t="s">
        <v>220</v>
      </c>
      <c r="B82" s="35" t="s">
        <v>289</v>
      </c>
      <c r="C82" s="36" t="s">
        <v>388</v>
      </c>
      <c r="D82" s="233">
        <v>0.863</v>
      </c>
      <c r="E82" s="244">
        <f t="shared" si="1"/>
        <v>25.338671954022992</v>
      </c>
      <c r="F82" s="37"/>
      <c r="G82" s="37"/>
      <c r="H82" s="37"/>
      <c r="I82" s="37"/>
      <c r="J82" s="37"/>
      <c r="K82" s="37"/>
      <c r="L82" s="100" t="s">
        <v>277</v>
      </c>
      <c r="M82" s="118">
        <v>3206949158</v>
      </c>
    </row>
    <row r="83" spans="1:13" ht="12.75">
      <c r="A83" s="39" t="s">
        <v>223</v>
      </c>
      <c r="B83" s="35" t="s">
        <v>234</v>
      </c>
      <c r="C83" s="36" t="s">
        <v>235</v>
      </c>
      <c r="D83" s="233">
        <v>1.05</v>
      </c>
      <c r="E83" s="244">
        <f t="shared" si="1"/>
        <v>30.829206896551725</v>
      </c>
      <c r="F83" s="37"/>
      <c r="G83" s="37"/>
      <c r="H83" s="37"/>
      <c r="I83" s="37"/>
      <c r="J83" s="37"/>
      <c r="K83" s="37"/>
      <c r="L83" s="100" t="s">
        <v>271</v>
      </c>
      <c r="M83" s="118">
        <v>3204010505</v>
      </c>
    </row>
    <row r="84" spans="1:13" ht="12.75">
      <c r="A84" s="39" t="s">
        <v>226</v>
      </c>
      <c r="B84" s="35" t="s">
        <v>236</v>
      </c>
      <c r="C84" s="36" t="s">
        <v>237</v>
      </c>
      <c r="D84" s="233">
        <v>0.33</v>
      </c>
      <c r="E84" s="244">
        <f t="shared" si="1"/>
        <v>9.689179310344828</v>
      </c>
      <c r="F84" s="37"/>
      <c r="G84" s="37"/>
      <c r="H84" s="37"/>
      <c r="I84" s="37"/>
      <c r="J84" s="37"/>
      <c r="K84" s="37"/>
      <c r="L84" s="100" t="s">
        <v>271</v>
      </c>
      <c r="M84" s="118">
        <v>3204169869</v>
      </c>
    </row>
    <row r="85" spans="1:13" ht="12.75">
      <c r="A85" s="39" t="s">
        <v>229</v>
      </c>
      <c r="B85" s="35" t="s">
        <v>242</v>
      </c>
      <c r="C85" s="36" t="s">
        <v>243</v>
      </c>
      <c r="D85" s="233">
        <v>0.316</v>
      </c>
      <c r="E85" s="244">
        <f t="shared" si="1"/>
        <v>9.278123218390805</v>
      </c>
      <c r="F85" s="37"/>
      <c r="G85" s="37"/>
      <c r="H85" s="37"/>
      <c r="I85" s="37"/>
      <c r="J85" s="37"/>
      <c r="K85" s="37">
        <v>600</v>
      </c>
      <c r="L85" s="277" t="s">
        <v>279</v>
      </c>
      <c r="M85" s="118">
        <v>3200516734</v>
      </c>
    </row>
    <row r="86" spans="1:14" s="203" customFormat="1" ht="12.75">
      <c r="A86" s="39" t="s">
        <v>297</v>
      </c>
      <c r="B86" s="273" t="s">
        <v>406</v>
      </c>
      <c r="C86" s="274" t="s">
        <v>407</v>
      </c>
      <c r="D86" s="275">
        <v>1.256</v>
      </c>
      <c r="E86" s="271">
        <f t="shared" si="1"/>
        <v>36.87760367816092</v>
      </c>
      <c r="F86" s="198"/>
      <c r="G86" s="198"/>
      <c r="H86" s="198"/>
      <c r="I86" s="198"/>
      <c r="J86" s="198"/>
      <c r="K86" s="198">
        <v>1368</v>
      </c>
      <c r="L86" s="272" t="s">
        <v>271</v>
      </c>
      <c r="M86" s="276"/>
      <c r="N86" s="202"/>
    </row>
    <row r="87" spans="1:14" s="203" customFormat="1" ht="12.75">
      <c r="A87" s="39"/>
      <c r="B87" s="273"/>
      <c r="C87" s="274"/>
      <c r="D87" s="275"/>
      <c r="E87" s="271"/>
      <c r="F87" s="198"/>
      <c r="G87" s="198"/>
      <c r="H87" s="198"/>
      <c r="I87" s="198"/>
      <c r="J87" s="198"/>
      <c r="K87" s="198"/>
      <c r="L87" s="272"/>
      <c r="M87" s="276"/>
      <c r="N87" s="202"/>
    </row>
    <row r="88" spans="1:14" s="203" customFormat="1" ht="12.75">
      <c r="A88" s="39"/>
      <c r="B88" s="273"/>
      <c r="C88" s="274"/>
      <c r="D88" s="275"/>
      <c r="E88" s="271"/>
      <c r="F88" s="198"/>
      <c r="G88" s="198"/>
      <c r="H88" s="198"/>
      <c r="I88" s="198"/>
      <c r="J88" s="198"/>
      <c r="K88" s="198"/>
      <c r="L88" s="272"/>
      <c r="M88" s="276"/>
      <c r="N88" s="202"/>
    </row>
    <row r="89" spans="1:14" s="289" customFormat="1" ht="15.75">
      <c r="A89" s="280"/>
      <c r="B89" s="281" t="s">
        <v>238</v>
      </c>
      <c r="C89" s="282"/>
      <c r="D89" s="283"/>
      <c r="E89" s="284"/>
      <c r="F89" s="285">
        <f>SUM(F5:F86)</f>
        <v>0</v>
      </c>
      <c r="G89" s="285">
        <f>SUM(G5:G86)</f>
        <v>0</v>
      </c>
      <c r="H89" s="285">
        <f>SUM(H5:H86)</f>
        <v>0</v>
      </c>
      <c r="I89" s="285">
        <f>SUM(I5:I87)</f>
        <v>0</v>
      </c>
      <c r="J89" s="285">
        <f>SUM(J5:J86)</f>
        <v>0</v>
      </c>
      <c r="K89" s="285">
        <f>SUM(K5:K87)</f>
        <v>32386</v>
      </c>
      <c r="L89" s="286"/>
      <c r="M89" s="287"/>
      <c r="N89" s="288"/>
    </row>
  </sheetData>
  <sheetProtection/>
  <mergeCells count="1">
    <mergeCell ref="A2:B2"/>
  </mergeCells>
  <printOptions/>
  <pageMargins left="0.7086614173228347" right="0.7086614173228347" top="0.23" bottom="0.31" header="0.24" footer="0.31"/>
  <pageSetup horizontalDpi="600" verticalDpi="600" orientation="landscape" paperSize="9" scale="90" r:id="rId1"/>
  <headerFooter alignWithMargins="0">
    <oddFooter>&amp;CStranica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R93"/>
  <sheetViews>
    <sheetView zoomScalePageLayoutView="0" workbookViewId="0" topLeftCell="A1">
      <pane ySplit="4" topLeftCell="A83" activePane="bottomLeft" state="frozen"/>
      <selection pane="topLeft" activeCell="A1" sqref="A1"/>
      <selection pane="bottomLeft" activeCell="A5" sqref="A5:A47"/>
    </sheetView>
  </sheetViews>
  <sheetFormatPr defaultColWidth="9.140625" defaultRowHeight="15"/>
  <cols>
    <col min="1" max="1" width="6.8515625" style="28" customWidth="1"/>
    <col min="2" max="2" width="34.8515625" style="28" customWidth="1"/>
    <col min="3" max="3" width="4.421875" style="116" bestFit="1" customWidth="1"/>
    <col min="4" max="4" width="11.421875" style="366" bestFit="1" customWidth="1"/>
    <col min="5" max="5" width="11.421875" style="366" customWidth="1"/>
    <col min="6" max="6" width="12.140625" style="28" bestFit="1" customWidth="1"/>
    <col min="7" max="7" width="11.8515625" style="28" bestFit="1" customWidth="1"/>
    <col min="8" max="8" width="10.8515625" style="374" bestFit="1" customWidth="1"/>
    <col min="9" max="9" width="10.8515625" style="374" customWidth="1"/>
    <col min="10" max="10" width="14.7109375" style="28" bestFit="1" customWidth="1"/>
    <col min="11" max="11" width="11.28125" style="350" bestFit="1" customWidth="1"/>
    <col min="12" max="12" width="11.7109375" style="28" hidden="1" customWidth="1"/>
    <col min="13" max="13" width="9.57421875" style="105" hidden="1" customWidth="1"/>
    <col min="14" max="14" width="13.7109375" style="116" hidden="1" customWidth="1"/>
    <col min="15" max="15" width="15.57421875" style="358" customWidth="1"/>
    <col min="16" max="16" width="16.421875" style="238" customWidth="1"/>
    <col min="17" max="17" width="11.8515625" style="238" customWidth="1"/>
    <col min="18" max="18" width="15.00390625" style="238" customWidth="1"/>
    <col min="19" max="16384" width="9.140625" style="28" customWidth="1"/>
  </cols>
  <sheetData>
    <row r="2" spans="1:7" ht="15">
      <c r="A2" s="427" t="s">
        <v>457</v>
      </c>
      <c r="B2" s="427"/>
      <c r="C2" s="428" t="s">
        <v>458</v>
      </c>
      <c r="D2" s="429"/>
      <c r="E2" s="429"/>
      <c r="F2" s="429"/>
      <c r="G2" s="429"/>
    </row>
    <row r="3" ht="11.25" customHeight="1"/>
    <row r="4" spans="1:18" s="297" customFormat="1" ht="25.5">
      <c r="A4" s="290" t="s">
        <v>292</v>
      </c>
      <c r="B4" s="290" t="s">
        <v>17</v>
      </c>
      <c r="C4" s="290" t="s">
        <v>254</v>
      </c>
      <c r="D4" s="367" t="s">
        <v>396</v>
      </c>
      <c r="E4" s="367" t="s">
        <v>474</v>
      </c>
      <c r="F4" s="294" t="s">
        <v>397</v>
      </c>
      <c r="G4" s="290" t="s">
        <v>398</v>
      </c>
      <c r="H4" s="375" t="s">
        <v>402</v>
      </c>
      <c r="I4" s="375" t="s">
        <v>475</v>
      </c>
      <c r="J4" s="290" t="s">
        <v>400</v>
      </c>
      <c r="K4" s="356" t="s">
        <v>408</v>
      </c>
      <c r="L4" s="293"/>
      <c r="M4" s="295" t="s">
        <v>270</v>
      </c>
      <c r="N4" s="290" t="s">
        <v>280</v>
      </c>
      <c r="O4" s="359"/>
      <c r="P4" s="361"/>
      <c r="Q4" s="361"/>
      <c r="R4" s="361"/>
    </row>
    <row r="5" spans="1:14" ht="12.75">
      <c r="A5" s="39" t="s">
        <v>1</v>
      </c>
      <c r="B5" s="35" t="s">
        <v>224</v>
      </c>
      <c r="C5" s="36" t="s">
        <v>225</v>
      </c>
      <c r="D5" s="368" t="s">
        <v>437</v>
      </c>
      <c r="E5" s="368" t="s">
        <v>437</v>
      </c>
      <c r="F5" s="37"/>
      <c r="G5" s="37"/>
      <c r="H5" s="376" t="s">
        <v>437</v>
      </c>
      <c r="I5" s="376" t="s">
        <v>437</v>
      </c>
      <c r="J5" s="37"/>
      <c r="K5" s="351">
        <v>554</v>
      </c>
      <c r="L5" s="37"/>
      <c r="M5" s="100" t="s">
        <v>271</v>
      </c>
      <c r="N5" s="118">
        <v>3204010433</v>
      </c>
    </row>
    <row r="6" spans="1:18" s="203" customFormat="1" ht="12.75">
      <c r="A6" s="39" t="s">
        <v>2</v>
      </c>
      <c r="B6" s="273" t="s">
        <v>406</v>
      </c>
      <c r="C6" s="274" t="s">
        <v>407</v>
      </c>
      <c r="D6" s="368" t="s">
        <v>437</v>
      </c>
      <c r="E6" s="368" t="s">
        <v>437</v>
      </c>
      <c r="F6" s="198"/>
      <c r="G6" s="198"/>
      <c r="H6" s="376" t="s">
        <v>437</v>
      </c>
      <c r="I6" s="376" t="s">
        <v>437</v>
      </c>
      <c r="J6" s="198"/>
      <c r="K6" s="352">
        <v>602</v>
      </c>
      <c r="L6" s="198"/>
      <c r="M6" s="272" t="s">
        <v>271</v>
      </c>
      <c r="N6" s="276"/>
      <c r="O6" s="360"/>
      <c r="P6" s="362"/>
      <c r="Q6" s="362"/>
      <c r="R6" s="362"/>
    </row>
    <row r="7" spans="1:14" ht="12.75">
      <c r="A7" s="39" t="s">
        <v>3</v>
      </c>
      <c r="B7" s="35" t="s">
        <v>29</v>
      </c>
      <c r="C7" s="36" t="s">
        <v>31</v>
      </c>
      <c r="D7" s="368">
        <v>728.34</v>
      </c>
      <c r="E7" s="368"/>
      <c r="F7" s="37"/>
      <c r="G7" s="37"/>
      <c r="H7" s="376">
        <v>369.95</v>
      </c>
      <c r="I7" s="376"/>
      <c r="J7" s="37"/>
      <c r="K7" s="351">
        <v>250</v>
      </c>
      <c r="L7" s="37"/>
      <c r="M7" s="100" t="s">
        <v>271</v>
      </c>
      <c r="N7" s="118">
        <v>3204010046</v>
      </c>
    </row>
    <row r="8" spans="1:14" ht="12.75">
      <c r="A8" s="39" t="s">
        <v>4</v>
      </c>
      <c r="B8" s="35" t="s">
        <v>33</v>
      </c>
      <c r="C8" s="36" t="s">
        <v>32</v>
      </c>
      <c r="D8" s="368" t="s">
        <v>437</v>
      </c>
      <c r="E8" s="368" t="s">
        <v>437</v>
      </c>
      <c r="F8" s="37"/>
      <c r="G8" s="37"/>
      <c r="H8" s="376">
        <v>353.98</v>
      </c>
      <c r="I8" s="376"/>
      <c r="J8" s="37"/>
      <c r="K8" s="351">
        <v>250</v>
      </c>
      <c r="L8" s="37"/>
      <c r="M8" s="100" t="s">
        <v>271</v>
      </c>
      <c r="N8" s="118">
        <v>3204009691</v>
      </c>
    </row>
    <row r="9" spans="1:14" ht="12.75">
      <c r="A9" s="39" t="s">
        <v>5</v>
      </c>
      <c r="B9" s="35" t="s">
        <v>34</v>
      </c>
      <c r="C9" s="36" t="s">
        <v>35</v>
      </c>
      <c r="D9" s="368" t="s">
        <v>437</v>
      </c>
      <c r="E9" s="368" t="s">
        <v>437</v>
      </c>
      <c r="F9" s="37"/>
      <c r="G9" s="37"/>
      <c r="H9" s="376">
        <v>349.52</v>
      </c>
      <c r="I9" s="376"/>
      <c r="J9" s="37"/>
      <c r="K9" s="351">
        <v>560</v>
      </c>
      <c r="L9" s="37"/>
      <c r="M9" s="100" t="s">
        <v>272</v>
      </c>
      <c r="N9" s="118">
        <v>3220485615</v>
      </c>
    </row>
    <row r="10" spans="1:14" ht="12.75">
      <c r="A10" s="39" t="s">
        <v>6</v>
      </c>
      <c r="B10" s="35" t="s">
        <v>36</v>
      </c>
      <c r="C10" s="36" t="s">
        <v>37</v>
      </c>
      <c r="D10" s="368" t="s">
        <v>437</v>
      </c>
      <c r="E10" s="368" t="s">
        <v>437</v>
      </c>
      <c r="F10" s="37"/>
      <c r="G10" s="37"/>
      <c r="H10" s="376">
        <v>369.95</v>
      </c>
      <c r="I10" s="376"/>
      <c r="J10" s="37"/>
      <c r="K10" s="351">
        <v>250</v>
      </c>
      <c r="L10" s="37"/>
      <c r="M10" s="100" t="s">
        <v>271</v>
      </c>
      <c r="N10" s="118">
        <v>3204010214</v>
      </c>
    </row>
    <row r="11" spans="1:14" ht="12.75">
      <c r="A11" s="39" t="s">
        <v>7</v>
      </c>
      <c r="B11" s="35" t="s">
        <v>38</v>
      </c>
      <c r="C11" s="36" t="s">
        <v>39</v>
      </c>
      <c r="D11" s="368">
        <v>170.15</v>
      </c>
      <c r="E11" s="368"/>
      <c r="F11" s="37"/>
      <c r="G11" s="37"/>
      <c r="H11" s="376">
        <v>366.9</v>
      </c>
      <c r="I11" s="376"/>
      <c r="J11" s="37"/>
      <c r="K11" s="351" t="s">
        <v>437</v>
      </c>
      <c r="L11" s="37"/>
      <c r="M11" s="100" t="s">
        <v>271</v>
      </c>
      <c r="N11" s="118">
        <v>3204010327</v>
      </c>
    </row>
    <row r="12" spans="1:14" ht="12.75">
      <c r="A12" s="39" t="s">
        <v>8</v>
      </c>
      <c r="B12" s="35" t="s">
        <v>40</v>
      </c>
      <c r="C12" s="36" t="s">
        <v>41</v>
      </c>
      <c r="D12" s="368" t="s">
        <v>437</v>
      </c>
      <c r="E12" s="368" t="s">
        <v>437</v>
      </c>
      <c r="F12" s="37"/>
      <c r="G12" s="37"/>
      <c r="H12" s="376" t="s">
        <v>437</v>
      </c>
      <c r="I12" s="376" t="s">
        <v>437</v>
      </c>
      <c r="J12" s="37">
        <v>706.55</v>
      </c>
      <c r="K12" s="351" t="s">
        <v>437</v>
      </c>
      <c r="L12" s="37"/>
      <c r="M12" s="100" t="s">
        <v>271</v>
      </c>
      <c r="N12" s="118">
        <v>3204017738</v>
      </c>
    </row>
    <row r="13" spans="1:14" ht="12.75">
      <c r="A13" s="39" t="s">
        <v>9</v>
      </c>
      <c r="B13" s="35" t="s">
        <v>44</v>
      </c>
      <c r="C13" s="36" t="s">
        <v>45</v>
      </c>
      <c r="D13" s="368" t="s">
        <v>437</v>
      </c>
      <c r="E13" s="368" t="s">
        <v>437</v>
      </c>
      <c r="F13" s="37">
        <v>747.3</v>
      </c>
      <c r="G13" s="37"/>
      <c r="H13" s="376">
        <v>332.13</v>
      </c>
      <c r="I13" s="376"/>
      <c r="J13" s="37"/>
      <c r="K13" s="351">
        <v>250</v>
      </c>
      <c r="L13" s="37"/>
      <c r="M13" s="100" t="s">
        <v>271</v>
      </c>
      <c r="N13" s="118">
        <v>3204010484</v>
      </c>
    </row>
    <row r="14" spans="1:14" ht="12.75">
      <c r="A14" s="39" t="s">
        <v>30</v>
      </c>
      <c r="B14" s="35" t="s">
        <v>47</v>
      </c>
      <c r="C14" s="36" t="s">
        <v>48</v>
      </c>
      <c r="D14" s="368" t="s">
        <v>437</v>
      </c>
      <c r="E14" s="368" t="s">
        <v>437</v>
      </c>
      <c r="F14" s="37"/>
      <c r="G14" s="37"/>
      <c r="H14" s="376">
        <v>323.44</v>
      </c>
      <c r="I14" s="376"/>
      <c r="J14" s="37"/>
      <c r="K14" s="351">
        <v>250</v>
      </c>
      <c r="L14" s="37"/>
      <c r="M14" s="100" t="s">
        <v>271</v>
      </c>
      <c r="N14" s="118">
        <v>3204016384</v>
      </c>
    </row>
    <row r="15" spans="1:14" ht="12.75">
      <c r="A15" s="39" t="s">
        <v>10</v>
      </c>
      <c r="B15" s="35" t="s">
        <v>248</v>
      </c>
      <c r="C15" s="36" t="s">
        <v>249</v>
      </c>
      <c r="D15" s="368" t="s">
        <v>437</v>
      </c>
      <c r="E15" s="368" t="s">
        <v>437</v>
      </c>
      <c r="F15" s="37"/>
      <c r="G15" s="37"/>
      <c r="H15" s="376">
        <v>305.36</v>
      </c>
      <c r="I15" s="376"/>
      <c r="J15" s="37"/>
      <c r="K15" s="351">
        <v>350</v>
      </c>
      <c r="L15" s="37"/>
      <c r="M15" s="100" t="s">
        <v>275</v>
      </c>
      <c r="N15" s="118">
        <v>3223040861</v>
      </c>
    </row>
    <row r="16" spans="1:18" s="203" customFormat="1" ht="12.75">
      <c r="A16" s="39" t="s">
        <v>11</v>
      </c>
      <c r="B16" s="273" t="s">
        <v>49</v>
      </c>
      <c r="C16" s="274" t="s">
        <v>50</v>
      </c>
      <c r="D16" s="368" t="s">
        <v>437</v>
      </c>
      <c r="E16" s="368" t="s">
        <v>437</v>
      </c>
      <c r="F16" s="198"/>
      <c r="G16" s="198"/>
      <c r="H16" s="376">
        <v>324.62</v>
      </c>
      <c r="I16" s="376"/>
      <c r="J16" s="198"/>
      <c r="K16" s="352">
        <v>400</v>
      </c>
      <c r="L16" s="198"/>
      <c r="M16" s="272" t="s">
        <v>271</v>
      </c>
      <c r="N16" s="276">
        <v>3203991914</v>
      </c>
      <c r="O16" s="358"/>
      <c r="P16" s="362"/>
      <c r="Q16" s="238"/>
      <c r="R16" s="362"/>
    </row>
    <row r="17" spans="1:14" ht="12.75">
      <c r="A17" s="39" t="s">
        <v>12</v>
      </c>
      <c r="B17" s="35" t="s">
        <v>251</v>
      </c>
      <c r="C17" s="36" t="s">
        <v>53</v>
      </c>
      <c r="D17" s="368" t="s">
        <v>437</v>
      </c>
      <c r="E17" s="368" t="s">
        <v>437</v>
      </c>
      <c r="F17" s="37"/>
      <c r="G17" s="37"/>
      <c r="H17" s="376">
        <v>306.77</v>
      </c>
      <c r="I17" s="376"/>
      <c r="J17" s="37"/>
      <c r="K17" s="351">
        <v>400</v>
      </c>
      <c r="L17" s="37"/>
      <c r="M17" s="100" t="s">
        <v>274</v>
      </c>
      <c r="N17" s="118">
        <v>3201084947</v>
      </c>
    </row>
    <row r="18" spans="1:14" ht="12.75">
      <c r="A18" s="39" t="s">
        <v>13</v>
      </c>
      <c r="B18" s="35" t="s">
        <v>54</v>
      </c>
      <c r="C18" s="36" t="s">
        <v>55</v>
      </c>
      <c r="D18" s="368" t="s">
        <v>437</v>
      </c>
      <c r="E18" s="368" t="s">
        <v>437</v>
      </c>
      <c r="F18" s="37"/>
      <c r="G18" s="37"/>
      <c r="H18" s="376">
        <v>323.44</v>
      </c>
      <c r="I18" s="376"/>
      <c r="J18" s="37"/>
      <c r="K18" s="351">
        <v>350</v>
      </c>
      <c r="L18" s="37"/>
      <c r="M18" s="100" t="s">
        <v>271</v>
      </c>
      <c r="N18" s="118">
        <v>3207503041</v>
      </c>
    </row>
    <row r="19" spans="1:14" ht="12.75">
      <c r="A19" s="39" t="s">
        <v>14</v>
      </c>
      <c r="B19" s="35" t="s">
        <v>246</v>
      </c>
      <c r="C19" s="36" t="s">
        <v>247</v>
      </c>
      <c r="D19" s="368" t="s">
        <v>437</v>
      </c>
      <c r="E19" s="368" t="s">
        <v>437</v>
      </c>
      <c r="F19" s="37"/>
      <c r="G19" s="37"/>
      <c r="H19" s="376">
        <v>315.69</v>
      </c>
      <c r="I19" s="376"/>
      <c r="J19" s="37"/>
      <c r="K19" s="351">
        <v>600</v>
      </c>
      <c r="L19" s="37"/>
      <c r="M19" s="100" t="s">
        <v>275</v>
      </c>
      <c r="N19" s="118">
        <v>3221235503</v>
      </c>
    </row>
    <row r="20" spans="1:14" ht="12.75">
      <c r="A20" s="39" t="s">
        <v>15</v>
      </c>
      <c r="B20" s="35" t="s">
        <v>449</v>
      </c>
      <c r="C20" s="36" t="s">
        <v>214</v>
      </c>
      <c r="D20" s="368" t="s">
        <v>437</v>
      </c>
      <c r="E20" s="368" t="s">
        <v>437</v>
      </c>
      <c r="F20" s="37"/>
      <c r="G20" s="37"/>
      <c r="H20" s="376" t="s">
        <v>437</v>
      </c>
      <c r="I20" s="376" t="s">
        <v>437</v>
      </c>
      <c r="J20" s="37"/>
      <c r="K20" s="351" t="s">
        <v>437</v>
      </c>
      <c r="L20" s="37"/>
      <c r="M20" s="100" t="s">
        <v>271</v>
      </c>
      <c r="N20" s="118">
        <v>3207325476</v>
      </c>
    </row>
    <row r="21" spans="1:14" ht="12.75">
      <c r="A21" s="39" t="s">
        <v>16</v>
      </c>
      <c r="B21" s="35" t="s">
        <v>70</v>
      </c>
      <c r="C21" s="36" t="s">
        <v>71</v>
      </c>
      <c r="D21" s="368" t="s">
        <v>437</v>
      </c>
      <c r="E21" s="368" t="s">
        <v>437</v>
      </c>
      <c r="F21" s="37"/>
      <c r="G21" s="37"/>
      <c r="H21" s="376">
        <v>309.58</v>
      </c>
      <c r="I21" s="376"/>
      <c r="J21" s="37"/>
      <c r="K21" s="351">
        <v>400</v>
      </c>
      <c r="L21" s="37"/>
      <c r="M21" s="100" t="s">
        <v>271</v>
      </c>
      <c r="N21" s="118">
        <v>3209339880</v>
      </c>
    </row>
    <row r="22" spans="1:14" ht="12.75">
      <c r="A22" s="39" t="s">
        <v>58</v>
      </c>
      <c r="B22" s="35" t="s">
        <v>252</v>
      </c>
      <c r="C22" s="36" t="s">
        <v>62</v>
      </c>
      <c r="D22" s="368" t="s">
        <v>437</v>
      </c>
      <c r="E22" s="368" t="s">
        <v>437</v>
      </c>
      <c r="F22" s="37"/>
      <c r="G22" s="37"/>
      <c r="H22" s="376" t="s">
        <v>437</v>
      </c>
      <c r="I22" s="376" t="s">
        <v>437</v>
      </c>
      <c r="J22" s="37">
        <v>673.35</v>
      </c>
      <c r="K22" s="351">
        <v>810</v>
      </c>
      <c r="L22" s="37"/>
      <c r="M22" s="100" t="s">
        <v>271</v>
      </c>
      <c r="N22" s="118">
        <v>3209826266</v>
      </c>
    </row>
    <row r="23" spans="1:14" ht="12.75">
      <c r="A23" s="39" t="s">
        <v>61</v>
      </c>
      <c r="B23" s="35" t="s">
        <v>64</v>
      </c>
      <c r="C23" s="36" t="s">
        <v>65</v>
      </c>
      <c r="D23" s="368"/>
      <c r="E23" s="368" t="s">
        <v>437</v>
      </c>
      <c r="F23" s="37">
        <v>346.7</v>
      </c>
      <c r="G23" s="37"/>
      <c r="H23" s="376">
        <v>308.17</v>
      </c>
      <c r="I23" s="376"/>
      <c r="J23" s="37"/>
      <c r="K23" s="351" t="s">
        <v>437</v>
      </c>
      <c r="L23" s="37"/>
      <c r="M23" s="100" t="s">
        <v>271</v>
      </c>
      <c r="N23" s="118">
        <v>3206487143</v>
      </c>
    </row>
    <row r="24" spans="1:14" ht="12.75">
      <c r="A24" s="39" t="s">
        <v>63</v>
      </c>
      <c r="B24" s="35" t="s">
        <v>454</v>
      </c>
      <c r="C24" s="36" t="s">
        <v>68</v>
      </c>
      <c r="D24" s="368" t="s">
        <v>437</v>
      </c>
      <c r="E24" s="368" t="s">
        <v>437</v>
      </c>
      <c r="F24" s="37"/>
      <c r="G24" s="37"/>
      <c r="H24" s="376">
        <v>308.17</v>
      </c>
      <c r="I24" s="376"/>
      <c r="J24" s="37">
        <v>670.28</v>
      </c>
      <c r="K24" s="351">
        <v>857</v>
      </c>
      <c r="L24" s="37"/>
      <c r="M24" s="100" t="s">
        <v>276</v>
      </c>
      <c r="N24" s="118">
        <v>3251666018</v>
      </c>
    </row>
    <row r="25" spans="1:14" ht="12.75">
      <c r="A25" s="39" t="s">
        <v>66</v>
      </c>
      <c r="B25" s="35" t="s">
        <v>73</v>
      </c>
      <c r="C25" s="36" t="s">
        <v>74</v>
      </c>
      <c r="D25" s="368">
        <v>330.18</v>
      </c>
      <c r="E25" s="368"/>
      <c r="F25" s="37"/>
      <c r="G25" s="37"/>
      <c r="H25" s="376">
        <v>369.95</v>
      </c>
      <c r="I25" s="376"/>
      <c r="J25" s="37"/>
      <c r="K25" s="351">
        <v>502</v>
      </c>
      <c r="L25" s="37"/>
      <c r="M25" s="100" t="s">
        <v>271</v>
      </c>
      <c r="N25" s="118">
        <v>3204051514</v>
      </c>
    </row>
    <row r="26" spans="1:14" ht="12.75">
      <c r="A26" s="39" t="s">
        <v>69</v>
      </c>
      <c r="B26" s="35" t="s">
        <v>239</v>
      </c>
      <c r="C26" s="36" t="s">
        <v>76</v>
      </c>
      <c r="D26" s="368">
        <v>374.39</v>
      </c>
      <c r="E26" s="368"/>
      <c r="F26" s="37"/>
      <c r="G26" s="37"/>
      <c r="H26" s="376">
        <v>356.56</v>
      </c>
      <c r="I26" s="376"/>
      <c r="J26" s="37"/>
      <c r="K26" s="351">
        <v>250</v>
      </c>
      <c r="L26" s="37"/>
      <c r="M26" s="100" t="s">
        <v>271</v>
      </c>
      <c r="N26" s="118">
        <v>3204010298</v>
      </c>
    </row>
    <row r="27" spans="1:14" ht="12.75">
      <c r="A27" s="39" t="s">
        <v>72</v>
      </c>
      <c r="B27" s="35" t="s">
        <v>78</v>
      </c>
      <c r="C27" s="36" t="s">
        <v>79</v>
      </c>
      <c r="D27" s="368">
        <v>105.49</v>
      </c>
      <c r="E27" s="368"/>
      <c r="F27" s="37"/>
      <c r="G27" s="37"/>
      <c r="H27" s="376">
        <v>376.76</v>
      </c>
      <c r="I27" s="376"/>
      <c r="J27" s="37"/>
      <c r="K27" s="351" t="s">
        <v>437</v>
      </c>
      <c r="L27" s="37"/>
      <c r="M27" s="100" t="s">
        <v>271</v>
      </c>
      <c r="N27" s="118">
        <v>3214138674</v>
      </c>
    </row>
    <row r="28" spans="1:14" ht="12.75">
      <c r="A28" s="39" t="s">
        <v>75</v>
      </c>
      <c r="B28" s="35" t="s">
        <v>460</v>
      </c>
      <c r="C28" s="36" t="s">
        <v>85</v>
      </c>
      <c r="D28" s="368" t="s">
        <v>437</v>
      </c>
      <c r="E28" s="368" t="s">
        <v>437</v>
      </c>
      <c r="F28" s="37"/>
      <c r="G28" s="37"/>
      <c r="H28" s="376" t="s">
        <v>437</v>
      </c>
      <c r="I28" s="376" t="s">
        <v>437</v>
      </c>
      <c r="J28" s="37"/>
      <c r="K28" s="351" t="s">
        <v>455</v>
      </c>
      <c r="L28" s="37"/>
      <c r="M28" s="100" t="s">
        <v>276</v>
      </c>
      <c r="N28" s="118">
        <v>3251589993</v>
      </c>
    </row>
    <row r="29" spans="1:14" ht="12.75">
      <c r="A29" s="39" t="s">
        <v>77</v>
      </c>
      <c r="B29" s="35" t="s">
        <v>87</v>
      </c>
      <c r="C29" s="36" t="s">
        <v>88</v>
      </c>
      <c r="D29" s="368">
        <v>389.94</v>
      </c>
      <c r="E29" s="368"/>
      <c r="F29" s="37"/>
      <c r="G29" s="37"/>
      <c r="H29" s="376">
        <v>368.31</v>
      </c>
      <c r="I29" s="376"/>
      <c r="J29" s="37"/>
      <c r="K29" s="351" t="s">
        <v>437</v>
      </c>
      <c r="L29" s="37"/>
      <c r="M29" s="100" t="s">
        <v>274</v>
      </c>
      <c r="N29" s="118">
        <v>3201084963</v>
      </c>
    </row>
    <row r="30" spans="1:14" ht="12.75">
      <c r="A30" s="39" t="s">
        <v>80</v>
      </c>
      <c r="B30" s="35" t="s">
        <v>426</v>
      </c>
      <c r="C30" s="36" t="s">
        <v>430</v>
      </c>
      <c r="D30" s="368">
        <v>152.5</v>
      </c>
      <c r="E30" s="368"/>
      <c r="F30" s="37"/>
      <c r="G30" s="37"/>
      <c r="H30" s="376">
        <v>255.09</v>
      </c>
      <c r="I30" s="376"/>
      <c r="J30" s="37"/>
      <c r="K30" s="351">
        <v>955</v>
      </c>
      <c r="L30" s="37"/>
      <c r="M30" s="100" t="s">
        <v>271</v>
      </c>
      <c r="N30" s="118">
        <v>3207034652</v>
      </c>
    </row>
    <row r="31" spans="1:14" ht="12.75">
      <c r="A31" s="39" t="s">
        <v>83</v>
      </c>
      <c r="B31" s="35" t="s">
        <v>427</v>
      </c>
      <c r="C31" s="36" t="s">
        <v>429</v>
      </c>
      <c r="D31" s="368">
        <v>276.38</v>
      </c>
      <c r="E31" s="368"/>
      <c r="F31" s="37"/>
      <c r="G31" s="37"/>
      <c r="H31" s="376">
        <v>256.26</v>
      </c>
      <c r="I31" s="376"/>
      <c r="J31" s="37"/>
      <c r="K31" s="351">
        <v>250</v>
      </c>
      <c r="L31" s="37"/>
      <c r="M31" s="100" t="s">
        <v>271</v>
      </c>
      <c r="N31" s="118">
        <v>3203938809</v>
      </c>
    </row>
    <row r="32" spans="1:14" ht="12.75">
      <c r="A32" s="39" t="s">
        <v>86</v>
      </c>
      <c r="B32" s="35" t="s">
        <v>221</v>
      </c>
      <c r="C32" s="36" t="s">
        <v>222</v>
      </c>
      <c r="D32" s="368" t="s">
        <v>437</v>
      </c>
      <c r="E32" s="368" t="s">
        <v>437</v>
      </c>
      <c r="F32" s="37">
        <v>690.22</v>
      </c>
      <c r="G32" s="37"/>
      <c r="H32" s="376">
        <v>306.77</v>
      </c>
      <c r="I32" s="376"/>
      <c r="J32" s="37"/>
      <c r="K32" s="351">
        <v>1956</v>
      </c>
      <c r="L32" s="37"/>
      <c r="M32" s="100" t="s">
        <v>276</v>
      </c>
      <c r="N32" s="118">
        <v>3243353856</v>
      </c>
    </row>
    <row r="33" spans="1:14" ht="12.75">
      <c r="A33" s="39" t="s">
        <v>89</v>
      </c>
      <c r="B33" s="35" t="s">
        <v>253</v>
      </c>
      <c r="C33" s="36" t="s">
        <v>97</v>
      </c>
      <c r="D33" s="368">
        <v>193.36</v>
      </c>
      <c r="E33" s="368"/>
      <c r="F33" s="37"/>
      <c r="G33" s="37"/>
      <c r="H33" s="376">
        <v>368.31</v>
      </c>
      <c r="I33" s="376"/>
      <c r="J33" s="37"/>
      <c r="K33" s="351" t="s">
        <v>437</v>
      </c>
      <c r="L33" s="37"/>
      <c r="M33" s="100" t="s">
        <v>274</v>
      </c>
      <c r="N33" s="118">
        <v>3201085064</v>
      </c>
    </row>
    <row r="34" spans="1:14" ht="12.75">
      <c r="A34" s="39" t="s">
        <v>92</v>
      </c>
      <c r="B34" s="35" t="s">
        <v>99</v>
      </c>
      <c r="C34" s="36" t="s">
        <v>100</v>
      </c>
      <c r="D34" s="368">
        <v>298.33</v>
      </c>
      <c r="E34" s="368"/>
      <c r="F34" s="37"/>
      <c r="G34" s="37"/>
      <c r="H34" s="376">
        <v>315.69</v>
      </c>
      <c r="I34" s="376"/>
      <c r="J34" s="37"/>
      <c r="K34" s="351">
        <v>0</v>
      </c>
      <c r="L34" s="37"/>
      <c r="M34" s="100" t="s">
        <v>275</v>
      </c>
      <c r="N34" s="118">
        <v>3238905542</v>
      </c>
    </row>
    <row r="35" spans="1:14" ht="12.75">
      <c r="A35" s="39" t="s">
        <v>93</v>
      </c>
      <c r="B35" s="35" t="s">
        <v>461</v>
      </c>
      <c r="C35" s="36" t="s">
        <v>103</v>
      </c>
      <c r="D35" s="368">
        <v>52.25</v>
      </c>
      <c r="E35" s="368"/>
      <c r="F35" s="37"/>
      <c r="G35" s="37"/>
      <c r="H35" s="376">
        <v>314.28</v>
      </c>
      <c r="I35" s="376"/>
      <c r="J35" s="37"/>
      <c r="K35" s="351">
        <v>250</v>
      </c>
      <c r="L35" s="37"/>
      <c r="M35" s="100" t="s">
        <v>275</v>
      </c>
      <c r="N35" s="118">
        <v>3223516627</v>
      </c>
    </row>
    <row r="36" spans="1:14" ht="12.75">
      <c r="A36" s="39" t="s">
        <v>96</v>
      </c>
      <c r="B36" s="35" t="s">
        <v>450</v>
      </c>
      <c r="C36" s="36" t="s">
        <v>245</v>
      </c>
      <c r="D36" s="368" t="s">
        <v>437</v>
      </c>
      <c r="E36" s="368" t="s">
        <v>437</v>
      </c>
      <c r="F36" s="37"/>
      <c r="G36" s="37"/>
      <c r="H36" s="376" t="s">
        <v>437</v>
      </c>
      <c r="I36" s="376" t="s">
        <v>437</v>
      </c>
      <c r="J36" s="37"/>
      <c r="K36" s="351" t="s">
        <v>437</v>
      </c>
      <c r="L36" s="37"/>
      <c r="M36" s="100" t="s">
        <v>271</v>
      </c>
      <c r="N36" s="118">
        <v>3204141898</v>
      </c>
    </row>
    <row r="37" spans="1:14" ht="12.75">
      <c r="A37" s="39" t="s">
        <v>98</v>
      </c>
      <c r="B37" s="35" t="s">
        <v>291</v>
      </c>
      <c r="C37" s="36" t="s">
        <v>106</v>
      </c>
      <c r="D37" s="368">
        <v>122.81</v>
      </c>
      <c r="E37" s="368"/>
      <c r="F37" s="37"/>
      <c r="G37" s="37"/>
      <c r="H37" s="376">
        <v>305.12</v>
      </c>
      <c r="I37" s="376"/>
      <c r="J37" s="37"/>
      <c r="K37" s="351">
        <v>729</v>
      </c>
      <c r="L37" s="37"/>
      <c r="M37" s="100" t="s">
        <v>275</v>
      </c>
      <c r="N37" s="118">
        <v>3223350187</v>
      </c>
    </row>
    <row r="38" spans="1:14" ht="12.75">
      <c r="A38" s="39" t="s">
        <v>101</v>
      </c>
      <c r="B38" s="35" t="s">
        <v>108</v>
      </c>
      <c r="C38" s="36" t="s">
        <v>109</v>
      </c>
      <c r="D38" s="368" t="s">
        <v>437</v>
      </c>
      <c r="E38" s="368" t="s">
        <v>437</v>
      </c>
      <c r="F38" s="37">
        <v>700.26</v>
      </c>
      <c r="G38" s="37"/>
      <c r="H38" s="376">
        <v>311.23</v>
      </c>
      <c r="I38" s="376"/>
      <c r="J38" s="37"/>
      <c r="K38" s="351">
        <v>855</v>
      </c>
      <c r="L38" s="37"/>
      <c r="M38" s="100" t="s">
        <v>274</v>
      </c>
      <c r="N38" s="118">
        <v>3201113074</v>
      </c>
    </row>
    <row r="39" spans="1:14" ht="12.75">
      <c r="A39" s="39" t="s">
        <v>104</v>
      </c>
      <c r="B39" s="35" t="s">
        <v>459</v>
      </c>
      <c r="C39" s="36" t="s">
        <v>112</v>
      </c>
      <c r="D39" s="368">
        <v>287.21</v>
      </c>
      <c r="E39" s="368"/>
      <c r="F39" s="37"/>
      <c r="G39" s="37"/>
      <c r="H39" s="376">
        <v>373</v>
      </c>
      <c r="I39" s="376"/>
      <c r="J39" s="37"/>
      <c r="K39" s="351">
        <v>250</v>
      </c>
      <c r="L39" s="37"/>
      <c r="M39" s="100" t="s">
        <v>271</v>
      </c>
      <c r="N39" s="118">
        <v>3204010417</v>
      </c>
    </row>
    <row r="40" spans="1:14" ht="12.75">
      <c r="A40" s="39" t="s">
        <v>107</v>
      </c>
      <c r="B40" s="35" t="s">
        <v>114</v>
      </c>
      <c r="C40" s="36" t="s">
        <v>115</v>
      </c>
      <c r="D40" s="368">
        <v>284.86</v>
      </c>
      <c r="E40" s="368"/>
      <c r="F40" s="37"/>
      <c r="G40" s="37"/>
      <c r="H40" s="376">
        <v>369.95</v>
      </c>
      <c r="I40" s="376"/>
      <c r="J40" s="37"/>
      <c r="K40" s="351" t="s">
        <v>437</v>
      </c>
      <c r="L40" s="37"/>
      <c r="M40" s="100" t="s">
        <v>271</v>
      </c>
      <c r="N40" s="118">
        <v>3204021743</v>
      </c>
    </row>
    <row r="41" spans="1:14" ht="12.75">
      <c r="A41" s="39" t="s">
        <v>110</v>
      </c>
      <c r="B41" s="35" t="s">
        <v>117</v>
      </c>
      <c r="C41" s="36" t="s">
        <v>118</v>
      </c>
      <c r="D41" s="368">
        <v>177.48</v>
      </c>
      <c r="E41" s="368"/>
      <c r="F41" s="37"/>
      <c r="G41" s="37"/>
      <c r="H41" s="376">
        <v>362.2</v>
      </c>
      <c r="I41" s="376"/>
      <c r="J41" s="37"/>
      <c r="K41" s="351">
        <v>1306</v>
      </c>
      <c r="L41" s="37"/>
      <c r="M41" s="100" t="s">
        <v>274</v>
      </c>
      <c r="N41" s="118">
        <v>3201085072</v>
      </c>
    </row>
    <row r="42" spans="1:14" ht="12.75">
      <c r="A42" s="39" t="s">
        <v>113</v>
      </c>
      <c r="B42" s="35" t="s">
        <v>120</v>
      </c>
      <c r="C42" s="36" t="s">
        <v>121</v>
      </c>
      <c r="D42" s="368">
        <v>237.73</v>
      </c>
      <c r="E42" s="368"/>
      <c r="F42" s="37"/>
      <c r="G42" s="37"/>
      <c r="H42" s="376">
        <v>309.58</v>
      </c>
      <c r="I42" s="376"/>
      <c r="J42" s="37"/>
      <c r="K42" s="351">
        <v>250</v>
      </c>
      <c r="L42" s="37"/>
      <c r="M42" s="100" t="s">
        <v>271</v>
      </c>
      <c r="N42" s="118">
        <v>3201227584</v>
      </c>
    </row>
    <row r="43" spans="1:14" ht="12.75">
      <c r="A43" s="39" t="s">
        <v>116</v>
      </c>
      <c r="B43" s="35" t="s">
        <v>126</v>
      </c>
      <c r="C43" s="36" t="s">
        <v>127</v>
      </c>
      <c r="D43" s="368">
        <v>256.83</v>
      </c>
      <c r="E43" s="368"/>
      <c r="F43" s="37"/>
      <c r="G43" s="37"/>
      <c r="H43" s="376">
        <v>366.9</v>
      </c>
      <c r="I43" s="376"/>
      <c r="J43" s="37"/>
      <c r="K43" s="351">
        <v>250</v>
      </c>
      <c r="L43" s="37"/>
      <c r="M43" s="100" t="s">
        <v>271</v>
      </c>
      <c r="N43" s="118">
        <v>3206953335</v>
      </c>
    </row>
    <row r="44" spans="1:14" ht="12.75">
      <c r="A44" s="39" t="s">
        <v>119</v>
      </c>
      <c r="B44" s="35" t="s">
        <v>462</v>
      </c>
      <c r="C44" s="36" t="s">
        <v>124</v>
      </c>
      <c r="D44" s="368">
        <v>152.58</v>
      </c>
      <c r="E44" s="368"/>
      <c r="F44" s="37"/>
      <c r="G44" s="37"/>
      <c r="H44" s="376">
        <v>263.08</v>
      </c>
      <c r="I44" s="376"/>
      <c r="J44" s="37"/>
      <c r="K44" s="351" t="s">
        <v>437</v>
      </c>
      <c r="L44" s="37"/>
      <c r="M44" s="100" t="s">
        <v>271</v>
      </c>
      <c r="N44" s="118">
        <v>3213573925</v>
      </c>
    </row>
    <row r="45" spans="1:14" ht="12.75">
      <c r="A45" s="39" t="s">
        <v>122</v>
      </c>
      <c r="B45" s="35" t="s">
        <v>463</v>
      </c>
      <c r="C45" s="36" t="s">
        <v>149</v>
      </c>
      <c r="D45" s="368">
        <v>294.25</v>
      </c>
      <c r="E45" s="368"/>
      <c r="F45" s="37"/>
      <c r="G45" s="37"/>
      <c r="H45" s="376">
        <v>314.28</v>
      </c>
      <c r="I45" s="376"/>
      <c r="J45" s="37"/>
      <c r="K45" s="351">
        <v>857</v>
      </c>
      <c r="L45" s="37"/>
      <c r="M45" s="100" t="s">
        <v>277</v>
      </c>
      <c r="N45" s="118">
        <v>3206045226</v>
      </c>
    </row>
    <row r="46" spans="1:14" ht="12.75">
      <c r="A46" s="39" t="s">
        <v>125</v>
      </c>
      <c r="B46" s="35" t="s">
        <v>132</v>
      </c>
      <c r="C46" s="36" t="s">
        <v>133</v>
      </c>
      <c r="D46" s="368">
        <v>98.92</v>
      </c>
      <c r="E46" s="368"/>
      <c r="F46" s="37"/>
      <c r="G46" s="37"/>
      <c r="H46" s="376">
        <v>353.27</v>
      </c>
      <c r="I46" s="376"/>
      <c r="J46" s="37"/>
      <c r="K46" s="351">
        <v>554</v>
      </c>
      <c r="L46" s="37"/>
      <c r="M46" s="100" t="s">
        <v>271</v>
      </c>
      <c r="N46" s="118">
        <v>3204010409</v>
      </c>
    </row>
    <row r="47" spans="1:14" ht="12.75">
      <c r="A47" s="39" t="s">
        <v>128</v>
      </c>
      <c r="B47" s="35" t="s">
        <v>135</v>
      </c>
      <c r="C47" s="36" t="s">
        <v>136</v>
      </c>
      <c r="D47" s="368" t="s">
        <v>437</v>
      </c>
      <c r="E47" s="368" t="s">
        <v>437</v>
      </c>
      <c r="F47" s="37">
        <v>734.09</v>
      </c>
      <c r="G47" s="37"/>
      <c r="H47" s="376">
        <v>326.26</v>
      </c>
      <c r="I47" s="376"/>
      <c r="J47" s="37"/>
      <c r="K47" s="351">
        <v>250</v>
      </c>
      <c r="L47" s="37"/>
      <c r="M47" s="100" t="s">
        <v>271</v>
      </c>
      <c r="N47" s="118">
        <v>3206725631</v>
      </c>
    </row>
    <row r="48" spans="1:14" ht="12.75">
      <c r="A48" s="70"/>
      <c r="B48" s="71"/>
      <c r="C48" s="72"/>
      <c r="D48" s="369"/>
      <c r="E48" s="369"/>
      <c r="F48" s="73"/>
      <c r="G48" s="73"/>
      <c r="H48" s="377"/>
      <c r="I48" s="377"/>
      <c r="J48" s="73"/>
      <c r="K48" s="353"/>
      <c r="L48" s="73"/>
      <c r="M48" s="311"/>
      <c r="N48" s="118"/>
    </row>
    <row r="49" spans="1:14" ht="12.75">
      <c r="A49" s="70"/>
      <c r="B49" s="71"/>
      <c r="C49" s="72"/>
      <c r="D49" s="369"/>
      <c r="E49" s="369"/>
      <c r="F49" s="73"/>
      <c r="G49" s="73"/>
      <c r="H49" s="377"/>
      <c r="I49" s="377"/>
      <c r="J49" s="73"/>
      <c r="K49" s="353"/>
      <c r="L49" s="73"/>
      <c r="M49" s="311"/>
      <c r="N49" s="118"/>
    </row>
    <row r="50" spans="1:14" ht="12.75">
      <c r="A50" s="317"/>
      <c r="B50" s="82"/>
      <c r="C50" s="161"/>
      <c r="D50" s="370"/>
      <c r="E50" s="370"/>
      <c r="F50" s="320"/>
      <c r="G50" s="320"/>
      <c r="H50" s="378"/>
      <c r="I50" s="378"/>
      <c r="J50" s="320"/>
      <c r="K50" s="354"/>
      <c r="L50" s="320"/>
      <c r="M50" s="311"/>
      <c r="N50" s="118"/>
    </row>
    <row r="51" spans="1:18" s="297" customFormat="1" ht="50.25" customHeight="1">
      <c r="A51" s="290" t="s">
        <v>292</v>
      </c>
      <c r="B51" s="290" t="s">
        <v>17</v>
      </c>
      <c r="C51" s="290" t="s">
        <v>254</v>
      </c>
      <c r="D51" s="371" t="s">
        <v>396</v>
      </c>
      <c r="E51" s="367" t="s">
        <v>474</v>
      </c>
      <c r="F51" s="294" t="s">
        <v>397</v>
      </c>
      <c r="G51" s="290" t="s">
        <v>398</v>
      </c>
      <c r="H51" s="379" t="s">
        <v>399</v>
      </c>
      <c r="I51" s="375" t="s">
        <v>475</v>
      </c>
      <c r="J51" s="290" t="s">
        <v>400</v>
      </c>
      <c r="K51" s="357" t="s">
        <v>401</v>
      </c>
      <c r="L51" s="312"/>
      <c r="M51" s="295" t="s">
        <v>270</v>
      </c>
      <c r="N51" s="290" t="s">
        <v>280</v>
      </c>
      <c r="O51" s="359"/>
      <c r="P51" s="361"/>
      <c r="Q51" s="361"/>
      <c r="R51" s="361"/>
    </row>
    <row r="52" spans="1:14" ht="12.75">
      <c r="A52" s="39" t="s">
        <v>131</v>
      </c>
      <c r="B52" s="35" t="s">
        <v>216</v>
      </c>
      <c r="C52" s="36" t="s">
        <v>217</v>
      </c>
      <c r="D52" s="368">
        <v>164.13</v>
      </c>
      <c r="E52" s="368"/>
      <c r="F52" s="37"/>
      <c r="G52" s="37"/>
      <c r="H52" s="376">
        <v>312.64</v>
      </c>
      <c r="I52" s="376"/>
      <c r="J52" s="37"/>
      <c r="K52" s="351">
        <v>250</v>
      </c>
      <c r="L52" s="37"/>
      <c r="M52" s="100" t="s">
        <v>275</v>
      </c>
      <c r="N52" s="118">
        <v>3220513030</v>
      </c>
    </row>
    <row r="53" spans="1:14" ht="12.75">
      <c r="A53" s="39" t="s">
        <v>134</v>
      </c>
      <c r="B53" s="35" t="s">
        <v>138</v>
      </c>
      <c r="C53" s="36" t="s">
        <v>139</v>
      </c>
      <c r="D53" s="368">
        <v>198.25</v>
      </c>
      <c r="E53" s="368"/>
      <c r="F53" s="37"/>
      <c r="G53" s="37"/>
      <c r="H53" s="376">
        <v>348.58</v>
      </c>
      <c r="I53" s="376"/>
      <c r="J53" s="37"/>
      <c r="K53" s="351">
        <v>250</v>
      </c>
      <c r="L53" s="37"/>
      <c r="M53" s="100" t="s">
        <v>271</v>
      </c>
      <c r="N53" s="118">
        <v>3204015058</v>
      </c>
    </row>
    <row r="54" spans="1:18" s="203" customFormat="1" ht="12.75">
      <c r="A54" s="39" t="s">
        <v>137</v>
      </c>
      <c r="B54" s="273" t="s">
        <v>431</v>
      </c>
      <c r="C54" s="274" t="s">
        <v>440</v>
      </c>
      <c r="D54" s="368" t="s">
        <v>437</v>
      </c>
      <c r="E54" s="368" t="s">
        <v>437</v>
      </c>
      <c r="F54" s="198"/>
      <c r="G54" s="198"/>
      <c r="H54" s="376">
        <v>317.1</v>
      </c>
      <c r="I54" s="376"/>
      <c r="J54" s="198"/>
      <c r="K54" s="352">
        <v>560</v>
      </c>
      <c r="L54" s="198"/>
      <c r="M54" s="272" t="s">
        <v>271</v>
      </c>
      <c r="N54" s="276">
        <v>3202927758</v>
      </c>
      <c r="O54" s="358"/>
      <c r="P54" s="362"/>
      <c r="Q54" s="238"/>
      <c r="R54" s="362"/>
    </row>
    <row r="55" spans="1:14" ht="12.75">
      <c r="A55" s="39" t="s">
        <v>140</v>
      </c>
      <c r="B55" s="35" t="s">
        <v>145</v>
      </c>
      <c r="C55" s="36" t="s">
        <v>146</v>
      </c>
      <c r="D55" s="368" t="s">
        <v>437</v>
      </c>
      <c r="E55" s="368" t="s">
        <v>437</v>
      </c>
      <c r="F55" s="37">
        <v>791.69</v>
      </c>
      <c r="G55" s="37"/>
      <c r="H55" s="376">
        <v>351.86</v>
      </c>
      <c r="I55" s="376"/>
      <c r="J55" s="37"/>
      <c r="K55" s="351">
        <v>250</v>
      </c>
      <c r="L55" s="37"/>
      <c r="M55" s="100" t="s">
        <v>271</v>
      </c>
      <c r="N55" s="118">
        <v>3203992312</v>
      </c>
    </row>
    <row r="56" spans="1:14" ht="12.75">
      <c r="A56" s="39" t="s">
        <v>143</v>
      </c>
      <c r="B56" s="35" t="s">
        <v>240</v>
      </c>
      <c r="C56" s="36" t="s">
        <v>241</v>
      </c>
      <c r="D56" s="368">
        <v>186.02</v>
      </c>
      <c r="E56" s="368"/>
      <c r="F56" s="37"/>
      <c r="G56" s="37"/>
      <c r="H56" s="376">
        <v>303.71</v>
      </c>
      <c r="I56" s="376"/>
      <c r="J56" s="37"/>
      <c r="K56" s="351">
        <v>750</v>
      </c>
      <c r="L56" s="37"/>
      <c r="M56" s="100" t="s">
        <v>271</v>
      </c>
      <c r="N56" s="118">
        <v>3205778577</v>
      </c>
    </row>
    <row r="57" spans="1:14" ht="12.75">
      <c r="A57" s="39" t="s">
        <v>144</v>
      </c>
      <c r="B57" s="35" t="s">
        <v>464</v>
      </c>
      <c r="C57" s="36" t="s">
        <v>130</v>
      </c>
      <c r="D57" s="368" t="s">
        <v>437</v>
      </c>
      <c r="E57" s="368" t="s">
        <v>437</v>
      </c>
      <c r="F57" s="37" t="s">
        <v>437</v>
      </c>
      <c r="G57" s="37"/>
      <c r="H57" s="376" t="s">
        <v>437</v>
      </c>
      <c r="I57" s="376" t="s">
        <v>437</v>
      </c>
      <c r="J57" s="37" t="s">
        <v>437</v>
      </c>
      <c r="K57" s="351" t="s">
        <v>455</v>
      </c>
      <c r="L57" s="37"/>
      <c r="M57" s="100" t="s">
        <v>274</v>
      </c>
      <c r="N57" s="118">
        <v>3201085013</v>
      </c>
    </row>
    <row r="58" spans="1:14" ht="12.75">
      <c r="A58" s="39" t="s">
        <v>147</v>
      </c>
      <c r="B58" s="35" t="s">
        <v>250</v>
      </c>
      <c r="C58" s="36" t="s">
        <v>46</v>
      </c>
      <c r="D58" s="368" t="s">
        <v>437</v>
      </c>
      <c r="E58" s="368" t="s">
        <v>437</v>
      </c>
      <c r="F58" s="37"/>
      <c r="G58" s="37"/>
      <c r="H58" s="376">
        <v>343.41</v>
      </c>
      <c r="I58" s="376"/>
      <c r="J58" s="37"/>
      <c r="K58" s="351">
        <v>600</v>
      </c>
      <c r="L58" s="37"/>
      <c r="M58" s="100" t="s">
        <v>271</v>
      </c>
      <c r="N58" s="118">
        <v>3204035547</v>
      </c>
    </row>
    <row r="59" spans="1:14" ht="12.75">
      <c r="A59" s="39" t="s">
        <v>150</v>
      </c>
      <c r="B59" s="35" t="s">
        <v>81</v>
      </c>
      <c r="C59" s="36" t="s">
        <v>82</v>
      </c>
      <c r="D59" s="368" t="s">
        <v>437</v>
      </c>
      <c r="E59" s="368" t="s">
        <v>437</v>
      </c>
      <c r="F59" s="37"/>
      <c r="G59" s="37"/>
      <c r="H59" s="376">
        <v>385.69</v>
      </c>
      <c r="I59" s="376"/>
      <c r="J59" s="37"/>
      <c r="K59" s="351" t="s">
        <v>437</v>
      </c>
      <c r="L59" s="37"/>
      <c r="M59" s="100" t="s">
        <v>274</v>
      </c>
      <c r="N59" s="118">
        <v>3201085021</v>
      </c>
    </row>
    <row r="60" spans="1:14" ht="12.75">
      <c r="A60" s="39" t="s">
        <v>153</v>
      </c>
      <c r="B60" s="35" t="s">
        <v>451</v>
      </c>
      <c r="C60" s="36" t="s">
        <v>52</v>
      </c>
      <c r="D60" s="368" t="s">
        <v>437</v>
      </c>
      <c r="E60" s="368" t="s">
        <v>437</v>
      </c>
      <c r="F60" s="37"/>
      <c r="G60" s="37"/>
      <c r="H60" s="376" t="s">
        <v>437</v>
      </c>
      <c r="I60" s="376" t="s">
        <v>437</v>
      </c>
      <c r="J60" s="37"/>
      <c r="K60" s="351" t="s">
        <v>437</v>
      </c>
      <c r="L60" s="37"/>
      <c r="M60" s="100" t="s">
        <v>273</v>
      </c>
      <c r="N60" s="118">
        <v>3226742777</v>
      </c>
    </row>
    <row r="61" spans="1:14" ht="12.75">
      <c r="A61" s="39" t="s">
        <v>156</v>
      </c>
      <c r="B61" s="273" t="s">
        <v>412</v>
      </c>
      <c r="C61" s="274" t="s">
        <v>211</v>
      </c>
      <c r="D61" s="368">
        <v>202.73</v>
      </c>
      <c r="E61" s="368"/>
      <c r="F61" s="198"/>
      <c r="G61" s="198"/>
      <c r="H61" s="376">
        <v>321.8</v>
      </c>
      <c r="I61" s="376"/>
      <c r="J61" s="198"/>
      <c r="K61" s="352">
        <v>250</v>
      </c>
      <c r="L61" s="37"/>
      <c r="M61" s="100" t="s">
        <v>276</v>
      </c>
      <c r="N61" s="118">
        <v>3242020709</v>
      </c>
    </row>
    <row r="62" spans="1:14" ht="12.75">
      <c r="A62" s="39" t="s">
        <v>157</v>
      </c>
      <c r="B62" s="273" t="s">
        <v>452</v>
      </c>
      <c r="C62" s="274" t="s">
        <v>281</v>
      </c>
      <c r="D62" s="372" t="s">
        <v>437</v>
      </c>
      <c r="E62" s="372" t="s">
        <v>437</v>
      </c>
      <c r="F62" s="355" t="s">
        <v>437</v>
      </c>
      <c r="G62" s="355"/>
      <c r="H62" s="380" t="s">
        <v>437</v>
      </c>
      <c r="I62" s="380" t="s">
        <v>437</v>
      </c>
      <c r="J62" s="355" t="s">
        <v>437</v>
      </c>
      <c r="K62" s="352" t="s">
        <v>437</v>
      </c>
      <c r="L62" s="37"/>
      <c r="M62" s="100" t="s">
        <v>271</v>
      </c>
      <c r="N62" s="118">
        <v>3204133135</v>
      </c>
    </row>
    <row r="63" spans="1:14" ht="12.75">
      <c r="A63" s="39" t="s">
        <v>160</v>
      </c>
      <c r="B63" s="35" t="s">
        <v>154</v>
      </c>
      <c r="C63" s="36" t="s">
        <v>155</v>
      </c>
      <c r="D63" s="368">
        <v>99.89</v>
      </c>
      <c r="E63" s="368"/>
      <c r="F63" s="37"/>
      <c r="G63" s="37"/>
      <c r="H63" s="376">
        <v>317.1</v>
      </c>
      <c r="I63" s="376"/>
      <c r="J63" s="37"/>
      <c r="K63" s="351">
        <v>857</v>
      </c>
      <c r="L63" s="37"/>
      <c r="M63" s="100" t="s">
        <v>271</v>
      </c>
      <c r="N63" s="118">
        <v>3204198345</v>
      </c>
    </row>
    <row r="64" spans="1:14" ht="12.75">
      <c r="A64" s="39" t="s">
        <v>161</v>
      </c>
      <c r="B64" s="35" t="s">
        <v>465</v>
      </c>
      <c r="C64" s="36" t="s">
        <v>163</v>
      </c>
      <c r="D64" s="368" t="s">
        <v>437</v>
      </c>
      <c r="E64" s="368" t="s">
        <v>437</v>
      </c>
      <c r="F64" s="37">
        <v>690.22</v>
      </c>
      <c r="G64" s="37"/>
      <c r="H64" s="376">
        <v>122.71</v>
      </c>
      <c r="I64" s="376"/>
      <c r="J64" s="37"/>
      <c r="K64" s="351">
        <v>250</v>
      </c>
      <c r="L64" s="37"/>
      <c r="M64" s="100" t="s">
        <v>271</v>
      </c>
      <c r="N64" s="118">
        <v>3204240808</v>
      </c>
    </row>
    <row r="65" spans="1:14" ht="12.75">
      <c r="A65" s="39" t="s">
        <v>164</v>
      </c>
      <c r="B65" s="35" t="s">
        <v>232</v>
      </c>
      <c r="C65" s="36" t="s">
        <v>233</v>
      </c>
      <c r="D65" s="368" t="s">
        <v>437</v>
      </c>
      <c r="E65" s="368" t="s">
        <v>437</v>
      </c>
      <c r="F65" s="37"/>
      <c r="G65" s="37"/>
      <c r="H65" s="376">
        <v>70.65</v>
      </c>
      <c r="I65" s="376"/>
      <c r="J65" s="37"/>
      <c r="K65" s="351">
        <v>250</v>
      </c>
      <c r="L65" s="37"/>
      <c r="M65" s="100" t="s">
        <v>271</v>
      </c>
      <c r="N65" s="118">
        <v>3203978191</v>
      </c>
    </row>
    <row r="66" spans="1:14" ht="12.75">
      <c r="A66" s="39" t="s">
        <v>167</v>
      </c>
      <c r="B66" s="35" t="s">
        <v>165</v>
      </c>
      <c r="C66" s="36" t="s">
        <v>166</v>
      </c>
      <c r="D66" s="368" t="s">
        <v>437</v>
      </c>
      <c r="E66" s="368" t="s">
        <v>437</v>
      </c>
      <c r="F66" s="37"/>
      <c r="G66" s="37"/>
      <c r="H66" s="376">
        <v>69.72</v>
      </c>
      <c r="I66" s="376"/>
      <c r="J66" s="37"/>
      <c r="K66" s="351" t="s">
        <v>437</v>
      </c>
      <c r="L66" s="37"/>
      <c r="M66" s="100" t="s">
        <v>271</v>
      </c>
      <c r="N66" s="118">
        <v>3204197043</v>
      </c>
    </row>
    <row r="67" spans="1:14" ht="12.75">
      <c r="A67" s="39" t="s">
        <v>170</v>
      </c>
      <c r="B67" s="35" t="s">
        <v>168</v>
      </c>
      <c r="C67" s="36" t="s">
        <v>169</v>
      </c>
      <c r="D67" s="368" t="s">
        <v>437</v>
      </c>
      <c r="E67" s="368" t="s">
        <v>437</v>
      </c>
      <c r="F67" s="37"/>
      <c r="G67" s="37"/>
      <c r="H67" s="376">
        <v>64.92</v>
      </c>
      <c r="I67" s="376"/>
      <c r="J67" s="37"/>
      <c r="K67" s="351">
        <v>602</v>
      </c>
      <c r="L67" s="37"/>
      <c r="M67" s="100" t="s">
        <v>271</v>
      </c>
      <c r="N67" s="118">
        <v>3204079515</v>
      </c>
    </row>
    <row r="68" spans="1:14" ht="12.75">
      <c r="A68" s="39" t="s">
        <v>173</v>
      </c>
      <c r="B68" s="35" t="s">
        <v>424</v>
      </c>
      <c r="C68" s="36" t="s">
        <v>172</v>
      </c>
      <c r="D68" s="368" t="s">
        <v>437</v>
      </c>
      <c r="E68" s="368" t="s">
        <v>437</v>
      </c>
      <c r="F68" s="37">
        <v>696.56</v>
      </c>
      <c r="G68" s="37"/>
      <c r="H68" s="376">
        <v>270.89</v>
      </c>
      <c r="I68" s="376"/>
      <c r="J68" s="37"/>
      <c r="K68" s="351" t="s">
        <v>437</v>
      </c>
      <c r="L68" s="37"/>
      <c r="M68" s="100" t="s">
        <v>271</v>
      </c>
      <c r="N68" s="118">
        <v>3209023009</v>
      </c>
    </row>
    <row r="69" spans="1:14" ht="12.75">
      <c r="A69" s="39" t="s">
        <v>176</v>
      </c>
      <c r="B69" s="35" t="s">
        <v>230</v>
      </c>
      <c r="C69" s="36" t="s">
        <v>231</v>
      </c>
      <c r="D69" s="368" t="s">
        <v>437</v>
      </c>
      <c r="E69" s="368" t="s">
        <v>437</v>
      </c>
      <c r="F69" s="37"/>
      <c r="G69" s="37"/>
      <c r="H69" s="376" t="s">
        <v>437</v>
      </c>
      <c r="I69" s="376" t="s">
        <v>437</v>
      </c>
      <c r="J69" s="37"/>
      <c r="K69" s="351">
        <v>250</v>
      </c>
      <c r="L69" s="37"/>
      <c r="M69" s="100" t="s">
        <v>271</v>
      </c>
      <c r="N69" s="118">
        <v>3203942467</v>
      </c>
    </row>
    <row r="70" spans="1:14" ht="12.75">
      <c r="A70" s="39" t="s">
        <v>179</v>
      </c>
      <c r="B70" s="35" t="s">
        <v>423</v>
      </c>
      <c r="C70" s="36" t="s">
        <v>432</v>
      </c>
      <c r="D70" s="368" t="s">
        <v>437</v>
      </c>
      <c r="E70" s="368" t="s">
        <v>437</v>
      </c>
      <c r="F70" s="37"/>
      <c r="G70" s="37"/>
      <c r="H70" s="376">
        <v>248.98</v>
      </c>
      <c r="I70" s="376"/>
      <c r="J70" s="37">
        <v>185.96</v>
      </c>
      <c r="K70" s="351">
        <v>560</v>
      </c>
      <c r="L70" s="37"/>
      <c r="M70" s="100" t="s">
        <v>271</v>
      </c>
      <c r="N70" s="118">
        <v>3204010505</v>
      </c>
    </row>
    <row r="71" spans="1:14" ht="12.75">
      <c r="A71" s="39" t="s">
        <v>182</v>
      </c>
      <c r="B71" s="35" t="s">
        <v>471</v>
      </c>
      <c r="C71" s="36" t="s">
        <v>181</v>
      </c>
      <c r="D71" s="368" t="s">
        <v>437</v>
      </c>
      <c r="E71" s="368" t="s">
        <v>437</v>
      </c>
      <c r="F71" s="37">
        <v>154.13</v>
      </c>
      <c r="G71" s="37"/>
      <c r="H71" s="376">
        <v>163.72</v>
      </c>
      <c r="I71" s="376"/>
      <c r="J71" s="37"/>
      <c r="K71" s="351">
        <v>250</v>
      </c>
      <c r="L71" s="37"/>
      <c r="M71" s="100" t="s">
        <v>271</v>
      </c>
      <c r="N71" s="118">
        <v>3204016235</v>
      </c>
    </row>
    <row r="72" spans="1:14" ht="12.75">
      <c r="A72" s="39" t="s">
        <v>185</v>
      </c>
      <c r="B72" s="35" t="s">
        <v>409</v>
      </c>
      <c r="C72" s="36" t="s">
        <v>208</v>
      </c>
      <c r="D72" s="368" t="s">
        <v>437</v>
      </c>
      <c r="E72" s="368" t="s">
        <v>437</v>
      </c>
      <c r="F72" s="37"/>
      <c r="G72" s="37"/>
      <c r="H72" s="376">
        <v>163.72</v>
      </c>
      <c r="I72" s="376"/>
      <c r="J72" s="37"/>
      <c r="K72" s="351">
        <v>250</v>
      </c>
      <c r="L72" s="37"/>
      <c r="M72" s="277" t="s">
        <v>278</v>
      </c>
      <c r="N72" s="118">
        <v>3203218021</v>
      </c>
    </row>
    <row r="73" spans="1:14" ht="12.75">
      <c r="A73" s="39" t="s">
        <v>188</v>
      </c>
      <c r="B73" s="35" t="s">
        <v>466</v>
      </c>
      <c r="C73" s="36" t="s">
        <v>184</v>
      </c>
      <c r="D73" s="368" t="s">
        <v>437</v>
      </c>
      <c r="E73" s="368" t="s">
        <v>437</v>
      </c>
      <c r="F73" s="37"/>
      <c r="G73" s="37"/>
      <c r="H73" s="376" t="s">
        <v>437</v>
      </c>
      <c r="I73" s="376" t="s">
        <v>437</v>
      </c>
      <c r="J73" s="37"/>
      <c r="K73" s="351" t="s">
        <v>437</v>
      </c>
      <c r="L73" s="37"/>
      <c r="M73" s="100" t="s">
        <v>271</v>
      </c>
      <c r="N73" s="118">
        <v>3204072195</v>
      </c>
    </row>
    <row r="74" spans="1:14" ht="12.75">
      <c r="A74" s="39" t="s">
        <v>191</v>
      </c>
      <c r="B74" s="35" t="s">
        <v>472</v>
      </c>
      <c r="C74" s="36" t="s">
        <v>187</v>
      </c>
      <c r="D74" s="368" t="s">
        <v>437</v>
      </c>
      <c r="E74" s="368" t="s">
        <v>437</v>
      </c>
      <c r="F74" s="37"/>
      <c r="G74" s="37"/>
      <c r="H74" s="376" t="s">
        <v>437</v>
      </c>
      <c r="I74" s="376" t="s">
        <v>437</v>
      </c>
      <c r="J74" s="37"/>
      <c r="K74" s="351" t="s">
        <v>437</v>
      </c>
      <c r="L74" s="37"/>
      <c r="M74" s="100" t="s">
        <v>271</v>
      </c>
      <c r="N74" s="118">
        <v>3204079960</v>
      </c>
    </row>
    <row r="75" spans="1:14" ht="12.75">
      <c r="A75" s="39" t="s">
        <v>194</v>
      </c>
      <c r="B75" s="35" t="s">
        <v>189</v>
      </c>
      <c r="C75" s="36" t="s">
        <v>190</v>
      </c>
      <c r="D75" s="368" t="s">
        <v>437</v>
      </c>
      <c r="E75" s="368" t="s">
        <v>437</v>
      </c>
      <c r="F75" s="37"/>
      <c r="G75" s="37"/>
      <c r="H75" s="376">
        <v>166.54</v>
      </c>
      <c r="I75" s="376"/>
      <c r="J75" s="37"/>
      <c r="K75" s="351">
        <v>250</v>
      </c>
      <c r="L75" s="37"/>
      <c r="M75" s="100" t="s">
        <v>271</v>
      </c>
      <c r="N75" s="118">
        <v>3203970986</v>
      </c>
    </row>
    <row r="76" spans="1:14" ht="12.75">
      <c r="A76" s="39" t="s">
        <v>197</v>
      </c>
      <c r="B76" s="35" t="s">
        <v>192</v>
      </c>
      <c r="C76" s="36" t="s">
        <v>193</v>
      </c>
      <c r="D76" s="368" t="s">
        <v>437</v>
      </c>
      <c r="E76" s="368" t="s">
        <v>437</v>
      </c>
      <c r="F76" s="37"/>
      <c r="G76" s="37"/>
      <c r="H76" s="376">
        <v>153.15</v>
      </c>
      <c r="I76" s="376"/>
      <c r="J76" s="37"/>
      <c r="K76" s="351" t="s">
        <v>437</v>
      </c>
      <c r="L76" s="37"/>
      <c r="M76" s="100" t="s">
        <v>271</v>
      </c>
      <c r="N76" s="118">
        <v>3204067208</v>
      </c>
    </row>
    <row r="77" spans="1:14" ht="12.75">
      <c r="A77" s="39" t="s">
        <v>200</v>
      </c>
      <c r="B77" s="35" t="s">
        <v>195</v>
      </c>
      <c r="C77" s="36" t="s">
        <v>196</v>
      </c>
      <c r="D77" s="368" t="s">
        <v>437</v>
      </c>
      <c r="E77" s="368" t="s">
        <v>437</v>
      </c>
      <c r="F77" s="37"/>
      <c r="G77" s="37"/>
      <c r="H77" s="376">
        <v>151.03</v>
      </c>
      <c r="I77" s="376"/>
      <c r="J77" s="37"/>
      <c r="K77" s="351">
        <v>350</v>
      </c>
      <c r="L77" s="37"/>
      <c r="M77" s="100" t="s">
        <v>271</v>
      </c>
      <c r="N77" s="118">
        <v>3204142989</v>
      </c>
    </row>
    <row r="78" spans="1:14" ht="12.75">
      <c r="A78" s="39" t="s">
        <v>203</v>
      </c>
      <c r="B78" s="35" t="s">
        <v>467</v>
      </c>
      <c r="C78" s="36" t="s">
        <v>237</v>
      </c>
      <c r="D78" s="368" t="s">
        <v>437</v>
      </c>
      <c r="E78" s="368" t="s">
        <v>437</v>
      </c>
      <c r="F78" s="37"/>
      <c r="G78" s="37"/>
      <c r="H78" s="376">
        <v>37.58</v>
      </c>
      <c r="I78" s="376"/>
      <c r="J78" s="37"/>
      <c r="K78" s="351" t="s">
        <v>437</v>
      </c>
      <c r="L78" s="37"/>
      <c r="M78" s="100" t="s">
        <v>271</v>
      </c>
      <c r="N78" s="118">
        <v>3204169869</v>
      </c>
    </row>
    <row r="79" spans="1:14" ht="12.75">
      <c r="A79" s="39" t="s">
        <v>206</v>
      </c>
      <c r="B79" s="35" t="s">
        <v>198</v>
      </c>
      <c r="C79" s="36" t="s">
        <v>199</v>
      </c>
      <c r="D79" s="368" t="s">
        <v>437</v>
      </c>
      <c r="E79" s="368" t="s">
        <v>437</v>
      </c>
      <c r="F79" s="37"/>
      <c r="G79" s="37"/>
      <c r="H79" s="376" t="s">
        <v>437</v>
      </c>
      <c r="I79" s="376"/>
      <c r="J79" s="37"/>
      <c r="K79" s="351">
        <v>350</v>
      </c>
      <c r="L79" s="37"/>
      <c r="M79" s="100" t="s">
        <v>271</v>
      </c>
      <c r="N79" s="118">
        <v>3209666848</v>
      </c>
    </row>
    <row r="80" spans="1:14" ht="12.75">
      <c r="A80" s="39" t="s">
        <v>209</v>
      </c>
      <c r="B80" s="35" t="s">
        <v>468</v>
      </c>
      <c r="C80" s="36" t="s">
        <v>202</v>
      </c>
      <c r="D80" s="368" t="s">
        <v>437</v>
      </c>
      <c r="E80" s="368" t="s">
        <v>437</v>
      </c>
      <c r="F80" s="37"/>
      <c r="G80" s="37"/>
      <c r="H80" s="376" t="s">
        <v>437</v>
      </c>
      <c r="I80" s="376"/>
      <c r="J80" s="37"/>
      <c r="K80" s="351" t="s">
        <v>437</v>
      </c>
      <c r="L80" s="37"/>
      <c r="M80" s="100" t="s">
        <v>271</v>
      </c>
      <c r="N80" s="118">
        <v>3212211696</v>
      </c>
    </row>
    <row r="81" spans="1:14" ht="12.75">
      <c r="A81" s="39" t="s">
        <v>212</v>
      </c>
      <c r="B81" s="35" t="s">
        <v>469</v>
      </c>
      <c r="C81" s="36" t="s">
        <v>243</v>
      </c>
      <c r="D81" s="368" t="s">
        <v>437</v>
      </c>
      <c r="E81" s="368" t="s">
        <v>437</v>
      </c>
      <c r="F81" s="37"/>
      <c r="G81" s="37"/>
      <c r="H81" s="376">
        <v>36.41</v>
      </c>
      <c r="I81" s="376"/>
      <c r="J81" s="37"/>
      <c r="K81" s="351">
        <v>600</v>
      </c>
      <c r="L81" s="37"/>
      <c r="M81" s="277" t="s">
        <v>279</v>
      </c>
      <c r="N81" s="118">
        <v>3200516734</v>
      </c>
    </row>
    <row r="82" spans="1:14" ht="12.75">
      <c r="A82" s="39" t="s">
        <v>215</v>
      </c>
      <c r="B82" s="35" t="s">
        <v>204</v>
      </c>
      <c r="C82" s="36" t="s">
        <v>205</v>
      </c>
      <c r="D82" s="368" t="s">
        <v>437</v>
      </c>
      <c r="E82" s="368" t="s">
        <v>437</v>
      </c>
      <c r="F82" s="37"/>
      <c r="G82" s="37"/>
      <c r="H82" s="376">
        <v>210.46</v>
      </c>
      <c r="I82" s="376"/>
      <c r="J82" s="37"/>
      <c r="K82" s="351">
        <v>650</v>
      </c>
      <c r="L82" s="37"/>
      <c r="M82" s="100" t="s">
        <v>271</v>
      </c>
      <c r="N82" s="118">
        <v>3204034361</v>
      </c>
    </row>
    <row r="83" spans="1:14" ht="12.75">
      <c r="A83" s="39" t="s">
        <v>218</v>
      </c>
      <c r="B83" s="35" t="s">
        <v>411</v>
      </c>
      <c r="C83" s="118">
        <v>209</v>
      </c>
      <c r="D83" s="372">
        <v>142.92</v>
      </c>
      <c r="E83" s="372"/>
      <c r="F83" s="35"/>
      <c r="G83" s="35"/>
      <c r="H83" s="380">
        <v>308.16</v>
      </c>
      <c r="I83" s="380"/>
      <c r="J83" s="244"/>
      <c r="K83" s="351">
        <v>350</v>
      </c>
      <c r="L83" s="35"/>
      <c r="M83" s="100"/>
      <c r="N83" s="118"/>
    </row>
    <row r="84" spans="1:18" s="203" customFormat="1" ht="12.75">
      <c r="A84" s="39" t="s">
        <v>219</v>
      </c>
      <c r="B84" s="273" t="s">
        <v>456</v>
      </c>
      <c r="C84" s="274" t="s">
        <v>60</v>
      </c>
      <c r="D84" s="368" t="s">
        <v>437</v>
      </c>
      <c r="E84" s="368" t="s">
        <v>437</v>
      </c>
      <c r="F84" s="198"/>
      <c r="G84" s="198"/>
      <c r="H84" s="376">
        <v>305.12</v>
      </c>
      <c r="I84" s="376"/>
      <c r="J84" s="198">
        <v>663.64</v>
      </c>
      <c r="K84" s="352">
        <v>580</v>
      </c>
      <c r="L84" s="198"/>
      <c r="M84" s="272"/>
      <c r="N84" s="276"/>
      <c r="O84" s="358"/>
      <c r="P84" s="362"/>
      <c r="Q84" s="238"/>
      <c r="R84" s="362"/>
    </row>
    <row r="85" spans="1:18" s="203" customFormat="1" ht="12.75">
      <c r="A85" s="39" t="s">
        <v>220</v>
      </c>
      <c r="B85" s="273" t="s">
        <v>470</v>
      </c>
      <c r="C85" s="274" t="s">
        <v>434</v>
      </c>
      <c r="D85" s="368" t="s">
        <v>437</v>
      </c>
      <c r="E85" s="368" t="s">
        <v>437</v>
      </c>
      <c r="F85" s="198">
        <v>154.13</v>
      </c>
      <c r="G85" s="198"/>
      <c r="H85" s="376">
        <v>211.64</v>
      </c>
      <c r="I85" s="376"/>
      <c r="J85" s="198"/>
      <c r="K85" s="352" t="s">
        <v>437</v>
      </c>
      <c r="L85" s="198"/>
      <c r="M85" s="272"/>
      <c r="N85" s="276"/>
      <c r="O85" s="358"/>
      <c r="P85" s="362"/>
      <c r="Q85" s="238"/>
      <c r="R85" s="362"/>
    </row>
    <row r="86" spans="1:11" ht="12.75">
      <c r="A86" s="39" t="s">
        <v>223</v>
      </c>
      <c r="B86" s="35" t="s">
        <v>435</v>
      </c>
      <c r="C86" s="118">
        <v>221</v>
      </c>
      <c r="D86" s="368" t="s">
        <v>437</v>
      </c>
      <c r="E86" s="368" t="s">
        <v>437</v>
      </c>
      <c r="F86" s="35"/>
      <c r="G86" s="35"/>
      <c r="H86" s="380" t="s">
        <v>437</v>
      </c>
      <c r="I86" s="380"/>
      <c r="J86" s="35">
        <v>361.03</v>
      </c>
      <c r="K86" s="351">
        <v>554</v>
      </c>
    </row>
    <row r="87" spans="1:11" ht="12.75">
      <c r="A87" s="39" t="s">
        <v>226</v>
      </c>
      <c r="B87" s="35" t="s">
        <v>436</v>
      </c>
      <c r="C87" s="118">
        <v>222</v>
      </c>
      <c r="D87" s="368" t="s">
        <v>437</v>
      </c>
      <c r="E87" s="368" t="s">
        <v>437</v>
      </c>
      <c r="F87" s="35"/>
      <c r="G87" s="35"/>
      <c r="H87" s="380">
        <v>245.09</v>
      </c>
      <c r="I87" s="380"/>
      <c r="J87" s="35"/>
      <c r="K87" s="351">
        <v>487.5</v>
      </c>
    </row>
    <row r="88" spans="1:11" ht="12.75">
      <c r="A88" s="39" t="s">
        <v>229</v>
      </c>
      <c r="B88" s="35" t="s">
        <v>438</v>
      </c>
      <c r="C88" s="118">
        <v>223</v>
      </c>
      <c r="D88" s="368">
        <v>166.29</v>
      </c>
      <c r="E88" s="368"/>
      <c r="F88" s="37"/>
      <c r="G88" s="198"/>
      <c r="H88" s="376">
        <v>327.67</v>
      </c>
      <c r="I88" s="376"/>
      <c r="J88" s="198"/>
      <c r="K88" s="351">
        <v>824</v>
      </c>
    </row>
    <row r="89" spans="1:11" ht="12.75">
      <c r="A89" s="39" t="s">
        <v>297</v>
      </c>
      <c r="B89" s="35" t="s">
        <v>473</v>
      </c>
      <c r="C89" s="118">
        <v>225</v>
      </c>
      <c r="D89" s="372" t="s">
        <v>437</v>
      </c>
      <c r="E89" s="372" t="s">
        <v>437</v>
      </c>
      <c r="F89" s="35"/>
      <c r="G89" s="35"/>
      <c r="H89" s="380" t="s">
        <v>437</v>
      </c>
      <c r="I89" s="380" t="s">
        <v>437</v>
      </c>
      <c r="J89" s="35"/>
      <c r="K89" s="351"/>
    </row>
    <row r="90" spans="1:14" ht="12.75">
      <c r="A90" s="39" t="s">
        <v>300</v>
      </c>
      <c r="B90" s="35" t="s">
        <v>453</v>
      </c>
      <c r="C90" s="118">
        <v>172</v>
      </c>
      <c r="D90" s="372" t="s">
        <v>437</v>
      </c>
      <c r="E90" s="372" t="s">
        <v>437</v>
      </c>
      <c r="F90" s="35"/>
      <c r="G90" s="35"/>
      <c r="H90" s="380">
        <v>305.12</v>
      </c>
      <c r="I90" s="380"/>
      <c r="J90" s="35"/>
      <c r="K90" s="351">
        <v>400</v>
      </c>
      <c r="L90" s="71"/>
      <c r="M90" s="104"/>
      <c r="N90" s="115"/>
    </row>
    <row r="91" spans="1:14" ht="12.75">
      <c r="A91" s="71"/>
      <c r="B91" s="71"/>
      <c r="C91" s="115"/>
      <c r="D91" s="373"/>
      <c r="E91" s="373"/>
      <c r="F91" s="71"/>
      <c r="G91" s="71"/>
      <c r="H91" s="381"/>
      <c r="I91" s="381"/>
      <c r="J91" s="71"/>
      <c r="K91" s="353"/>
      <c r="L91" s="71"/>
      <c r="M91" s="104"/>
      <c r="N91" s="115"/>
    </row>
    <row r="92" spans="1:14" ht="12.75">
      <c r="A92" s="71"/>
      <c r="B92" s="71"/>
      <c r="C92" s="115"/>
      <c r="D92" s="373"/>
      <c r="E92" s="373"/>
      <c r="F92" s="71"/>
      <c r="G92" s="71"/>
      <c r="H92" s="381"/>
      <c r="I92" s="381"/>
      <c r="J92" s="71"/>
      <c r="K92" s="353"/>
      <c r="L92" s="71"/>
      <c r="M92" s="104"/>
      <c r="N92" s="115"/>
    </row>
    <row r="93" spans="1:14" ht="12.75">
      <c r="A93" s="71"/>
      <c r="B93" s="71"/>
      <c r="C93" s="115"/>
      <c r="D93" s="373"/>
      <c r="E93" s="373"/>
      <c r="F93" s="71"/>
      <c r="G93" s="71"/>
      <c r="H93" s="381"/>
      <c r="I93" s="381"/>
      <c r="J93" s="71"/>
      <c r="K93" s="353"/>
      <c r="L93" s="71"/>
      <c r="M93" s="104"/>
      <c r="N93" s="115"/>
    </row>
  </sheetData>
  <sheetProtection/>
  <mergeCells count="2">
    <mergeCell ref="A2:B2"/>
    <mergeCell ref="C2:G2"/>
  </mergeCells>
  <printOptions/>
  <pageMargins left="0.7086614173228347" right="0.7086614173228347" top="0.17" bottom="0.17" header="0.17" footer="0.31"/>
  <pageSetup horizontalDpi="600" verticalDpi="600" orientation="landscape" paperSize="9" scale="90" r:id="rId1"/>
  <headerFooter alignWithMargins="0">
    <oddFooter>&amp;CStranica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73">
      <selection activeCell="D56" sqref="D56"/>
    </sheetView>
  </sheetViews>
  <sheetFormatPr defaultColWidth="9.140625" defaultRowHeight="10.5" customHeight="1"/>
  <cols>
    <col min="1" max="1" width="6.8515625" style="28" customWidth="1"/>
    <col min="2" max="2" width="34.8515625" style="28" customWidth="1"/>
    <col min="3" max="3" width="6.00390625" style="28" customWidth="1"/>
    <col min="4" max="4" width="17.140625" style="28" customWidth="1"/>
    <col min="5" max="5" width="18.8515625" style="28" customWidth="1"/>
    <col min="6" max="6" width="13.28125" style="28" customWidth="1"/>
    <col min="7" max="7" width="17.57421875" style="28" customWidth="1"/>
    <col min="8" max="8" width="11.7109375" style="28" customWidth="1"/>
    <col min="9" max="16384" width="9.140625" style="28" customWidth="1"/>
  </cols>
  <sheetData>
    <row r="1" spans="1:8" ht="10.5" customHeight="1">
      <c r="A1" s="290" t="s">
        <v>292</v>
      </c>
      <c r="B1" s="290" t="s">
        <v>17</v>
      </c>
      <c r="C1" s="363" t="s">
        <v>254</v>
      </c>
      <c r="D1" s="244" t="s">
        <v>445</v>
      </c>
      <c r="E1" s="244" t="s">
        <v>446</v>
      </c>
      <c r="F1" s="244" t="s">
        <v>447</v>
      </c>
      <c r="G1" s="244" t="s">
        <v>448</v>
      </c>
      <c r="H1" s="356" t="s">
        <v>408</v>
      </c>
    </row>
    <row r="2" spans="1:8" ht="10.5" customHeight="1">
      <c r="A2" s="39" t="s">
        <v>1</v>
      </c>
      <c r="B2" s="35" t="s">
        <v>224</v>
      </c>
      <c r="C2" s="364" t="s">
        <v>225</v>
      </c>
      <c r="D2" s="244"/>
      <c r="E2" s="244"/>
      <c r="F2" s="244"/>
      <c r="G2" s="244"/>
      <c r="H2" s="351">
        <v>554</v>
      </c>
    </row>
    <row r="3" spans="1:8" ht="10.5" customHeight="1">
      <c r="A3" s="39" t="s">
        <v>2</v>
      </c>
      <c r="B3" s="273" t="s">
        <v>406</v>
      </c>
      <c r="C3" s="365" t="s">
        <v>407</v>
      </c>
      <c r="D3" s="244"/>
      <c r="E3" s="244"/>
      <c r="F3" s="244"/>
      <c r="G3" s="244"/>
      <c r="H3" s="352">
        <v>602</v>
      </c>
    </row>
    <row r="4" spans="1:8" ht="10.5" customHeight="1">
      <c r="A4" s="39" t="s">
        <v>3</v>
      </c>
      <c r="B4" s="35" t="s">
        <v>29</v>
      </c>
      <c r="C4" s="364" t="s">
        <v>31</v>
      </c>
      <c r="D4" s="244">
        <v>546.255</v>
      </c>
      <c r="E4" s="244"/>
      <c r="F4" s="244">
        <v>277.4625</v>
      </c>
      <c r="G4" s="244"/>
      <c r="H4" s="351">
        <v>250</v>
      </c>
    </row>
    <row r="5" spans="1:8" ht="10.5" customHeight="1">
      <c r="A5" s="39" t="s">
        <v>4</v>
      </c>
      <c r="B5" s="35" t="s">
        <v>33</v>
      </c>
      <c r="C5" s="364" t="s">
        <v>32</v>
      </c>
      <c r="D5" s="244"/>
      <c r="E5" s="244"/>
      <c r="F5" s="244">
        <v>265.485</v>
      </c>
      <c r="G5" s="244"/>
      <c r="H5" s="351">
        <v>250</v>
      </c>
    </row>
    <row r="6" spans="1:8" ht="10.5" customHeight="1">
      <c r="A6" s="39" t="s">
        <v>5</v>
      </c>
      <c r="B6" s="35" t="s">
        <v>34</v>
      </c>
      <c r="C6" s="364" t="s">
        <v>35</v>
      </c>
      <c r="D6" s="244"/>
      <c r="E6" s="244"/>
      <c r="F6" s="244">
        <v>262.14</v>
      </c>
      <c r="G6" s="244"/>
      <c r="H6" s="351">
        <v>560</v>
      </c>
    </row>
    <row r="7" spans="1:8" ht="10.5" customHeight="1">
      <c r="A7" s="39" t="s">
        <v>6</v>
      </c>
      <c r="B7" s="35" t="s">
        <v>36</v>
      </c>
      <c r="C7" s="364" t="s">
        <v>37</v>
      </c>
      <c r="D7" s="244"/>
      <c r="E7" s="244"/>
      <c r="F7" s="244">
        <v>277.4625</v>
      </c>
      <c r="G7" s="244"/>
      <c r="H7" s="351">
        <v>250</v>
      </c>
    </row>
    <row r="8" spans="1:8" ht="10.5" customHeight="1">
      <c r="A8" s="39" t="s">
        <v>7</v>
      </c>
      <c r="B8" s="35" t="s">
        <v>38</v>
      </c>
      <c r="C8" s="364" t="s">
        <v>39</v>
      </c>
      <c r="D8" s="244">
        <v>127.6125</v>
      </c>
      <c r="E8" s="244"/>
      <c r="F8" s="244">
        <v>275.175</v>
      </c>
      <c r="G8" s="244"/>
      <c r="H8" s="351" t="s">
        <v>437</v>
      </c>
    </row>
    <row r="9" spans="1:8" ht="10.5" customHeight="1">
      <c r="A9" s="39" t="s">
        <v>8</v>
      </c>
      <c r="B9" s="35" t="s">
        <v>40</v>
      </c>
      <c r="C9" s="364" t="s">
        <v>41</v>
      </c>
      <c r="D9" s="244"/>
      <c r="E9" s="244"/>
      <c r="F9" s="244"/>
      <c r="G9" s="244">
        <v>529.9125</v>
      </c>
      <c r="H9" s="351" t="s">
        <v>437</v>
      </c>
    </row>
    <row r="10" spans="1:8" ht="10.5" customHeight="1">
      <c r="A10" s="39" t="s">
        <v>9</v>
      </c>
      <c r="B10" s="35" t="s">
        <v>425</v>
      </c>
      <c r="C10" s="364" t="s">
        <v>439</v>
      </c>
      <c r="D10" s="244"/>
      <c r="E10" s="244"/>
      <c r="F10" s="244">
        <v>191.25</v>
      </c>
      <c r="G10" s="244"/>
      <c r="H10" s="351">
        <v>600</v>
      </c>
    </row>
    <row r="11" spans="1:8" ht="10.5" customHeight="1">
      <c r="A11" s="39" t="s">
        <v>30</v>
      </c>
      <c r="B11" s="35" t="s">
        <v>44</v>
      </c>
      <c r="C11" s="364" t="s">
        <v>45</v>
      </c>
      <c r="D11" s="244"/>
      <c r="E11" s="244">
        <v>560.475</v>
      </c>
      <c r="F11" s="244">
        <v>249.0975</v>
      </c>
      <c r="G11" s="244"/>
      <c r="H11" s="351">
        <v>250</v>
      </c>
    </row>
    <row r="12" spans="1:8" ht="10.5" customHeight="1">
      <c r="A12" s="39" t="s">
        <v>10</v>
      </c>
      <c r="B12" s="35" t="s">
        <v>47</v>
      </c>
      <c r="C12" s="364" t="s">
        <v>48</v>
      </c>
      <c r="D12" s="244"/>
      <c r="E12" s="244"/>
      <c r="F12" s="244">
        <v>242.58</v>
      </c>
      <c r="G12" s="244"/>
      <c r="H12" s="351">
        <v>250</v>
      </c>
    </row>
    <row r="13" spans="1:8" ht="10.5" customHeight="1">
      <c r="A13" s="39" t="s">
        <v>11</v>
      </c>
      <c r="B13" s="35" t="s">
        <v>248</v>
      </c>
      <c r="C13" s="364" t="s">
        <v>249</v>
      </c>
      <c r="D13" s="244"/>
      <c r="E13" s="244"/>
      <c r="F13" s="244">
        <v>229.02</v>
      </c>
      <c r="G13" s="244"/>
      <c r="H13" s="351">
        <v>350</v>
      </c>
    </row>
    <row r="14" spans="1:8" ht="10.5" customHeight="1">
      <c r="A14" s="39" t="s">
        <v>12</v>
      </c>
      <c r="B14" s="273" t="s">
        <v>49</v>
      </c>
      <c r="C14" s="365" t="s">
        <v>50</v>
      </c>
      <c r="D14" s="244"/>
      <c r="E14" s="244"/>
      <c r="F14" s="244">
        <v>243.465</v>
      </c>
      <c r="G14" s="244"/>
      <c r="H14" s="352">
        <v>400</v>
      </c>
    </row>
    <row r="15" spans="1:8" ht="10.5" customHeight="1">
      <c r="A15" s="39" t="s">
        <v>13</v>
      </c>
      <c r="B15" s="35" t="s">
        <v>251</v>
      </c>
      <c r="C15" s="364" t="s">
        <v>53</v>
      </c>
      <c r="D15" s="244"/>
      <c r="E15" s="244"/>
      <c r="F15" s="244">
        <v>230.0775</v>
      </c>
      <c r="G15" s="244"/>
      <c r="H15" s="351">
        <v>400</v>
      </c>
    </row>
    <row r="16" spans="1:8" ht="10.5" customHeight="1">
      <c r="A16" s="39" t="s">
        <v>14</v>
      </c>
      <c r="B16" s="35" t="s">
        <v>54</v>
      </c>
      <c r="C16" s="364" t="s">
        <v>55</v>
      </c>
      <c r="D16" s="244"/>
      <c r="E16" s="244"/>
      <c r="F16" s="244">
        <v>242.58</v>
      </c>
      <c r="G16" s="244"/>
      <c r="H16" s="351">
        <v>350</v>
      </c>
    </row>
    <row r="17" spans="1:8" ht="10.5" customHeight="1">
      <c r="A17" s="39" t="s">
        <v>15</v>
      </c>
      <c r="B17" s="35" t="s">
        <v>246</v>
      </c>
      <c r="C17" s="364" t="s">
        <v>247</v>
      </c>
      <c r="D17" s="244"/>
      <c r="E17" s="244"/>
      <c r="F17" s="244">
        <v>236.7675</v>
      </c>
      <c r="G17" s="244"/>
      <c r="H17" s="351">
        <v>600</v>
      </c>
    </row>
    <row r="18" spans="1:8" ht="10.5" customHeight="1">
      <c r="A18" s="39" t="s">
        <v>16</v>
      </c>
      <c r="B18" s="35" t="s">
        <v>213</v>
      </c>
      <c r="C18" s="364" t="s">
        <v>214</v>
      </c>
      <c r="D18" s="244"/>
      <c r="E18" s="244"/>
      <c r="F18" s="244"/>
      <c r="G18" s="244"/>
      <c r="H18" s="351" t="s">
        <v>437</v>
      </c>
    </row>
    <row r="19" spans="1:8" ht="10.5" customHeight="1">
      <c r="A19" s="39" t="s">
        <v>58</v>
      </c>
      <c r="B19" s="35" t="s">
        <v>70</v>
      </c>
      <c r="C19" s="364" t="s">
        <v>71</v>
      </c>
      <c r="D19" s="244"/>
      <c r="E19" s="244"/>
      <c r="F19" s="244">
        <v>232.185</v>
      </c>
      <c r="G19" s="244"/>
      <c r="H19" s="351">
        <v>400</v>
      </c>
    </row>
    <row r="20" spans="1:8" ht="10.5" customHeight="1">
      <c r="A20" s="39" t="s">
        <v>61</v>
      </c>
      <c r="B20" s="35" t="s">
        <v>252</v>
      </c>
      <c r="C20" s="364" t="s">
        <v>62</v>
      </c>
      <c r="D20" s="244"/>
      <c r="E20" s="244"/>
      <c r="F20" s="244"/>
      <c r="G20" s="244">
        <v>505.0125</v>
      </c>
      <c r="H20" s="351">
        <v>810</v>
      </c>
    </row>
    <row r="21" spans="1:8" ht="10.5" customHeight="1">
      <c r="A21" s="39" t="s">
        <v>63</v>
      </c>
      <c r="B21" s="35" t="s">
        <v>64</v>
      </c>
      <c r="C21" s="364" t="s">
        <v>65</v>
      </c>
      <c r="D21" s="244">
        <v>131.4525</v>
      </c>
      <c r="E21" s="244">
        <v>260.025</v>
      </c>
      <c r="F21" s="244">
        <v>231.1275</v>
      </c>
      <c r="G21" s="244"/>
      <c r="H21" s="351" t="s">
        <v>437</v>
      </c>
    </row>
    <row r="22" spans="1:8" ht="10.5" customHeight="1">
      <c r="A22" s="39" t="s">
        <v>66</v>
      </c>
      <c r="B22" s="35" t="s">
        <v>444</v>
      </c>
      <c r="C22" s="364" t="s">
        <v>68</v>
      </c>
      <c r="D22" s="244"/>
      <c r="E22" s="244"/>
      <c r="F22" s="244"/>
      <c r="G22" s="244"/>
      <c r="H22" s="351" t="s">
        <v>437</v>
      </c>
    </row>
    <row r="23" spans="1:8" ht="10.5" customHeight="1">
      <c r="A23" s="39" t="s">
        <v>69</v>
      </c>
      <c r="B23" s="35" t="s">
        <v>73</v>
      </c>
      <c r="C23" s="364" t="s">
        <v>74</v>
      </c>
      <c r="D23" s="244">
        <v>247.635</v>
      </c>
      <c r="E23" s="244"/>
      <c r="F23" s="244">
        <v>277.4625</v>
      </c>
      <c r="G23" s="244"/>
      <c r="H23" s="351">
        <v>502</v>
      </c>
    </row>
    <row r="24" spans="1:8" ht="10.5" customHeight="1">
      <c r="A24" s="39" t="s">
        <v>72</v>
      </c>
      <c r="B24" s="35" t="s">
        <v>239</v>
      </c>
      <c r="C24" s="364" t="s">
        <v>76</v>
      </c>
      <c r="D24" s="244">
        <v>280.7925</v>
      </c>
      <c r="E24" s="244"/>
      <c r="F24" s="244">
        <v>267.42</v>
      </c>
      <c r="G24" s="244"/>
      <c r="H24" s="351">
        <v>250</v>
      </c>
    </row>
    <row r="25" spans="1:8" ht="10.5" customHeight="1">
      <c r="A25" s="39" t="s">
        <v>75</v>
      </c>
      <c r="B25" s="35" t="s">
        <v>78</v>
      </c>
      <c r="C25" s="364" t="s">
        <v>79</v>
      </c>
      <c r="D25" s="244">
        <v>79.1175</v>
      </c>
      <c r="E25" s="244"/>
      <c r="F25" s="244">
        <v>282.57</v>
      </c>
      <c r="G25" s="244"/>
      <c r="H25" s="351" t="s">
        <v>437</v>
      </c>
    </row>
    <row r="26" spans="1:8" ht="10.5" customHeight="1">
      <c r="A26" s="39" t="s">
        <v>77</v>
      </c>
      <c r="B26" s="35" t="s">
        <v>442</v>
      </c>
      <c r="C26" s="364" t="s">
        <v>85</v>
      </c>
      <c r="D26" s="244">
        <v>82.2</v>
      </c>
      <c r="E26" s="244"/>
      <c r="F26" s="244">
        <v>232.185</v>
      </c>
      <c r="G26" s="244"/>
      <c r="H26" s="351">
        <v>0</v>
      </c>
    </row>
    <row r="27" spans="1:8" ht="10.5" customHeight="1">
      <c r="A27" s="39" t="s">
        <v>80</v>
      </c>
      <c r="B27" s="35" t="s">
        <v>87</v>
      </c>
      <c r="C27" s="364" t="s">
        <v>88</v>
      </c>
      <c r="D27" s="244">
        <v>292.455</v>
      </c>
      <c r="E27" s="244"/>
      <c r="F27" s="244">
        <v>276.2325</v>
      </c>
      <c r="G27" s="244"/>
      <c r="H27" s="351" t="s">
        <v>437</v>
      </c>
    </row>
    <row r="28" spans="1:8" ht="10.5" customHeight="1">
      <c r="A28" s="39" t="s">
        <v>83</v>
      </c>
      <c r="B28" s="35" t="s">
        <v>426</v>
      </c>
      <c r="C28" s="364" t="s">
        <v>430</v>
      </c>
      <c r="D28" s="244">
        <v>114.375</v>
      </c>
      <c r="E28" s="244"/>
      <c r="F28" s="244">
        <v>191.34</v>
      </c>
      <c r="G28" s="244"/>
      <c r="H28" s="351">
        <v>955</v>
      </c>
    </row>
    <row r="29" spans="1:8" ht="10.5" customHeight="1">
      <c r="A29" s="39" t="s">
        <v>86</v>
      </c>
      <c r="B29" s="35" t="s">
        <v>427</v>
      </c>
      <c r="C29" s="364" t="s">
        <v>429</v>
      </c>
      <c r="D29" s="244">
        <v>207.285</v>
      </c>
      <c r="E29" s="244"/>
      <c r="F29" s="244">
        <v>192.18</v>
      </c>
      <c r="G29" s="244"/>
      <c r="H29" s="351">
        <v>250</v>
      </c>
    </row>
    <row r="30" spans="1:8" ht="10.5" customHeight="1">
      <c r="A30" s="39" t="s">
        <v>89</v>
      </c>
      <c r="B30" s="35" t="s">
        <v>221</v>
      </c>
      <c r="C30" s="364" t="s">
        <v>222</v>
      </c>
      <c r="D30" s="244">
        <v>36.24</v>
      </c>
      <c r="E30" s="244">
        <v>517.665</v>
      </c>
      <c r="F30" s="244">
        <v>230.0775</v>
      </c>
      <c r="G30" s="244"/>
      <c r="H30" s="351">
        <v>1956</v>
      </c>
    </row>
    <row r="31" spans="1:8" ht="10.5" customHeight="1">
      <c r="A31" s="39" t="s">
        <v>92</v>
      </c>
      <c r="B31" s="35" t="s">
        <v>253</v>
      </c>
      <c r="C31" s="364" t="s">
        <v>97</v>
      </c>
      <c r="D31" s="244">
        <v>145.02</v>
      </c>
      <c r="E31" s="244"/>
      <c r="F31" s="244">
        <v>276.2325</v>
      </c>
      <c r="G31" s="244"/>
      <c r="H31" s="351" t="s">
        <v>437</v>
      </c>
    </row>
    <row r="32" spans="1:8" ht="10.5" customHeight="1">
      <c r="A32" s="39" t="s">
        <v>93</v>
      </c>
      <c r="B32" s="35" t="s">
        <v>99</v>
      </c>
      <c r="C32" s="364" t="s">
        <v>100</v>
      </c>
      <c r="D32" s="244">
        <v>223.7475</v>
      </c>
      <c r="E32" s="244"/>
      <c r="F32" s="244">
        <v>236.7675</v>
      </c>
      <c r="G32" s="244"/>
      <c r="H32" s="351">
        <v>250</v>
      </c>
    </row>
    <row r="33" spans="1:8" ht="10.5" customHeight="1">
      <c r="A33" s="39" t="s">
        <v>96</v>
      </c>
      <c r="B33" s="35" t="s">
        <v>102</v>
      </c>
      <c r="C33" s="364" t="s">
        <v>103</v>
      </c>
      <c r="D33" s="244">
        <v>39.1875</v>
      </c>
      <c r="E33" s="244"/>
      <c r="F33" s="244">
        <v>235.71</v>
      </c>
      <c r="G33" s="244"/>
      <c r="H33" s="351">
        <v>250</v>
      </c>
    </row>
    <row r="34" spans="1:8" ht="10.5" customHeight="1">
      <c r="A34" s="39" t="s">
        <v>98</v>
      </c>
      <c r="B34" s="35" t="s">
        <v>244</v>
      </c>
      <c r="C34" s="364" t="s">
        <v>245</v>
      </c>
      <c r="D34" s="244"/>
      <c r="E34" s="244"/>
      <c r="F34" s="244">
        <v>388.24875</v>
      </c>
      <c r="G34" s="244"/>
      <c r="H34" s="351" t="s">
        <v>437</v>
      </c>
    </row>
    <row r="35" spans="1:8" ht="10.5" customHeight="1">
      <c r="A35" s="39" t="s">
        <v>101</v>
      </c>
      <c r="B35" s="35" t="s">
        <v>291</v>
      </c>
      <c r="C35" s="364" t="s">
        <v>106</v>
      </c>
      <c r="D35" s="244">
        <v>92.1075</v>
      </c>
      <c r="E35" s="244"/>
      <c r="F35" s="244">
        <v>228.84</v>
      </c>
      <c r="G35" s="244"/>
      <c r="H35" s="351">
        <v>729</v>
      </c>
    </row>
    <row r="36" spans="1:8" ht="10.5" customHeight="1">
      <c r="A36" s="39" t="s">
        <v>104</v>
      </c>
      <c r="B36" s="35" t="s">
        <v>108</v>
      </c>
      <c r="C36" s="364" t="s">
        <v>109</v>
      </c>
      <c r="D36" s="244"/>
      <c r="E36" s="244">
        <v>525.195</v>
      </c>
      <c r="F36" s="244">
        <v>233.4225</v>
      </c>
      <c r="G36" s="244"/>
      <c r="H36" s="351">
        <v>855</v>
      </c>
    </row>
    <row r="37" spans="1:8" ht="10.5" customHeight="1">
      <c r="A37" s="39" t="s">
        <v>107</v>
      </c>
      <c r="B37" s="35" t="s">
        <v>111</v>
      </c>
      <c r="C37" s="364" t="s">
        <v>112</v>
      </c>
      <c r="D37" s="244">
        <v>215.4075</v>
      </c>
      <c r="E37" s="244"/>
      <c r="F37" s="244">
        <v>279.75</v>
      </c>
      <c r="G37" s="244"/>
      <c r="H37" s="351">
        <v>250</v>
      </c>
    </row>
    <row r="38" spans="1:8" ht="10.5" customHeight="1">
      <c r="A38" s="39" t="s">
        <v>110</v>
      </c>
      <c r="B38" s="35" t="s">
        <v>114</v>
      </c>
      <c r="C38" s="364" t="s">
        <v>115</v>
      </c>
      <c r="D38" s="244">
        <v>213.645</v>
      </c>
      <c r="E38" s="244"/>
      <c r="F38" s="244">
        <v>277.4625</v>
      </c>
      <c r="G38" s="244"/>
      <c r="H38" s="351" t="s">
        <v>437</v>
      </c>
    </row>
    <row r="39" spans="1:8" ht="10.5" customHeight="1">
      <c r="A39" s="39" t="s">
        <v>113</v>
      </c>
      <c r="B39" s="35" t="s">
        <v>117</v>
      </c>
      <c r="C39" s="364" t="s">
        <v>118</v>
      </c>
      <c r="D39" s="244">
        <v>133.11</v>
      </c>
      <c r="E39" s="244"/>
      <c r="F39" s="244">
        <v>271.65</v>
      </c>
      <c r="G39" s="244"/>
      <c r="H39" s="351">
        <v>1306</v>
      </c>
    </row>
    <row r="40" spans="1:8" ht="10.5" customHeight="1">
      <c r="A40" s="39" t="s">
        <v>116</v>
      </c>
      <c r="B40" s="35" t="s">
        <v>120</v>
      </c>
      <c r="C40" s="364" t="s">
        <v>121</v>
      </c>
      <c r="D40" s="244">
        <v>178.2975</v>
      </c>
      <c r="E40" s="244"/>
      <c r="F40" s="244">
        <v>232.185</v>
      </c>
      <c r="G40" s="244"/>
      <c r="H40" s="351">
        <v>250</v>
      </c>
    </row>
    <row r="41" spans="1:8" ht="10.5" customHeight="1">
      <c r="A41" s="39" t="s">
        <v>119</v>
      </c>
      <c r="B41" s="35" t="s">
        <v>126</v>
      </c>
      <c r="C41" s="364" t="s">
        <v>127</v>
      </c>
      <c r="D41" s="244">
        <v>192.6225</v>
      </c>
      <c r="E41" s="244"/>
      <c r="F41" s="244">
        <v>275.175</v>
      </c>
      <c r="G41" s="244"/>
      <c r="H41" s="351">
        <v>250</v>
      </c>
    </row>
    <row r="42" spans="1:8" ht="10.5" customHeight="1">
      <c r="A42" s="39" t="s">
        <v>122</v>
      </c>
      <c r="B42" s="35" t="s">
        <v>123</v>
      </c>
      <c r="C42" s="364" t="s">
        <v>124</v>
      </c>
      <c r="D42" s="244">
        <v>114.435</v>
      </c>
      <c r="E42" s="244"/>
      <c r="F42" s="244">
        <v>197.31</v>
      </c>
      <c r="G42" s="244"/>
      <c r="H42" s="351" t="s">
        <v>437</v>
      </c>
    </row>
    <row r="43" spans="1:8" ht="10.5" customHeight="1">
      <c r="A43" s="39" t="s">
        <v>125</v>
      </c>
      <c r="B43" s="35" t="s">
        <v>148</v>
      </c>
      <c r="C43" s="364" t="s">
        <v>149</v>
      </c>
      <c r="D43" s="244">
        <v>220.6875</v>
      </c>
      <c r="E43" s="244"/>
      <c r="F43" s="244">
        <v>235.71</v>
      </c>
      <c r="G43" s="244"/>
      <c r="H43" s="351">
        <v>857</v>
      </c>
    </row>
    <row r="44" spans="1:8" ht="10.5" customHeight="1">
      <c r="A44" s="39" t="s">
        <v>128</v>
      </c>
      <c r="B44" s="35" t="s">
        <v>132</v>
      </c>
      <c r="C44" s="364" t="s">
        <v>133</v>
      </c>
      <c r="D44" s="244">
        <v>74.19</v>
      </c>
      <c r="E44" s="244"/>
      <c r="F44" s="244">
        <v>264.9525</v>
      </c>
      <c r="G44" s="244"/>
      <c r="H44" s="351">
        <v>554</v>
      </c>
    </row>
    <row r="45" spans="1:8" ht="10.5" customHeight="1">
      <c r="A45" s="39" t="s">
        <v>131</v>
      </c>
      <c r="B45" s="35" t="s">
        <v>135</v>
      </c>
      <c r="C45" s="36" t="s">
        <v>136</v>
      </c>
      <c r="D45" s="244">
        <v>59.9475</v>
      </c>
      <c r="E45" s="244">
        <v>550.5675</v>
      </c>
      <c r="F45" s="244">
        <v>244.695</v>
      </c>
      <c r="G45" s="244"/>
      <c r="H45" s="351">
        <v>250</v>
      </c>
    </row>
    <row r="46" spans="3:8" ht="10.5" customHeight="1">
      <c r="C46" s="71"/>
      <c r="D46" s="71"/>
      <c r="E46" s="71"/>
      <c r="F46" s="71"/>
      <c r="G46" s="71"/>
      <c r="H46" s="71"/>
    </row>
    <row r="47" spans="3:8" ht="10.5" customHeight="1">
      <c r="C47" s="71"/>
      <c r="D47" s="71"/>
      <c r="E47" s="71"/>
      <c r="F47" s="71"/>
      <c r="G47" s="71"/>
      <c r="H47" s="71"/>
    </row>
    <row r="48" spans="1:8" ht="10.5" customHeight="1">
      <c r="A48" s="290" t="s">
        <v>292</v>
      </c>
      <c r="B48" s="290" t="s">
        <v>17</v>
      </c>
      <c r="C48" s="290" t="s">
        <v>254</v>
      </c>
      <c r="D48" s="244" t="s">
        <v>445</v>
      </c>
      <c r="E48" s="244" t="s">
        <v>446</v>
      </c>
      <c r="F48" s="244" t="s">
        <v>447</v>
      </c>
      <c r="G48" s="244" t="s">
        <v>448</v>
      </c>
      <c r="H48" s="357" t="s">
        <v>401</v>
      </c>
    </row>
    <row r="49" spans="1:8" ht="10.5" customHeight="1">
      <c r="A49" s="39" t="s">
        <v>134</v>
      </c>
      <c r="B49" s="35" t="s">
        <v>216</v>
      </c>
      <c r="C49" s="364" t="s">
        <v>217</v>
      </c>
      <c r="D49" s="244">
        <v>123.0975</v>
      </c>
      <c r="E49" s="244"/>
      <c r="F49" s="244">
        <v>234.48</v>
      </c>
      <c r="G49" s="244"/>
      <c r="H49" s="351">
        <v>250</v>
      </c>
    </row>
    <row r="50" spans="1:8" ht="10.5" customHeight="1">
      <c r="A50" s="39" t="s">
        <v>137</v>
      </c>
      <c r="B50" s="35" t="s">
        <v>138</v>
      </c>
      <c r="C50" s="364" t="s">
        <v>139</v>
      </c>
      <c r="D50" s="244">
        <v>148.6875</v>
      </c>
      <c r="E50" s="244"/>
      <c r="F50" s="244">
        <v>261.435</v>
      </c>
      <c r="G50" s="244"/>
      <c r="H50" s="351">
        <v>250</v>
      </c>
    </row>
    <row r="51" spans="1:8" ht="10.5" customHeight="1">
      <c r="A51" s="39" t="s">
        <v>140</v>
      </c>
      <c r="B51" s="273" t="s">
        <v>431</v>
      </c>
      <c r="C51" s="365" t="s">
        <v>440</v>
      </c>
      <c r="D51" s="244"/>
      <c r="E51" s="244"/>
      <c r="F51" s="244">
        <v>237.825</v>
      </c>
      <c r="G51" s="244"/>
      <c r="H51" s="352">
        <v>560</v>
      </c>
    </row>
    <row r="52" spans="1:8" ht="10.5" customHeight="1">
      <c r="A52" s="39" t="s">
        <v>143</v>
      </c>
      <c r="B52" s="35" t="s">
        <v>145</v>
      </c>
      <c r="C52" s="364" t="s">
        <v>146</v>
      </c>
      <c r="D52" s="244"/>
      <c r="E52" s="244">
        <v>593.7675</v>
      </c>
      <c r="F52" s="244">
        <v>263.895</v>
      </c>
      <c r="G52" s="244"/>
      <c r="H52" s="351">
        <v>250</v>
      </c>
    </row>
    <row r="53" spans="1:8" ht="10.5" customHeight="1">
      <c r="A53" s="39" t="s">
        <v>144</v>
      </c>
      <c r="B53" s="35" t="s">
        <v>240</v>
      </c>
      <c r="C53" s="364" t="s">
        <v>241</v>
      </c>
      <c r="D53" s="244">
        <v>139.515</v>
      </c>
      <c r="E53" s="244"/>
      <c r="F53" s="244">
        <v>227.7825</v>
      </c>
      <c r="G53" s="244"/>
      <c r="H53" s="351">
        <v>750</v>
      </c>
    </row>
    <row r="54" spans="1:8" ht="10.5" customHeight="1">
      <c r="A54" s="39" t="s">
        <v>147</v>
      </c>
      <c r="B54" s="35" t="s">
        <v>443</v>
      </c>
      <c r="C54" s="364" t="s">
        <v>130</v>
      </c>
      <c r="D54" s="244"/>
      <c r="E54" s="244"/>
      <c r="F54" s="244"/>
      <c r="G54" s="244"/>
      <c r="H54" s="351" t="s">
        <v>437</v>
      </c>
    </row>
    <row r="55" spans="1:8" ht="10.5" customHeight="1">
      <c r="A55" s="39" t="s">
        <v>150</v>
      </c>
      <c r="B55" s="35" t="s">
        <v>250</v>
      </c>
      <c r="C55" s="364" t="s">
        <v>46</v>
      </c>
      <c r="D55" s="244"/>
      <c r="E55" s="244"/>
      <c r="F55" s="244">
        <v>257.5575</v>
      </c>
      <c r="G55" s="244"/>
      <c r="H55" s="351">
        <v>600</v>
      </c>
    </row>
    <row r="56" spans="1:8" ht="10.5" customHeight="1">
      <c r="A56" s="39" t="s">
        <v>153</v>
      </c>
      <c r="B56" s="35" t="s">
        <v>81</v>
      </c>
      <c r="C56" s="364" t="s">
        <v>82</v>
      </c>
      <c r="D56" s="244"/>
      <c r="E56" s="244"/>
      <c r="F56" s="244">
        <v>289.2675</v>
      </c>
      <c r="G56" s="244"/>
      <c r="H56" s="351" t="s">
        <v>437</v>
      </c>
    </row>
    <row r="57" spans="1:8" ht="10.5" customHeight="1">
      <c r="A57" s="39" t="s">
        <v>156</v>
      </c>
      <c r="B57" s="35" t="s">
        <v>51</v>
      </c>
      <c r="C57" s="364" t="s">
        <v>52</v>
      </c>
      <c r="D57" s="244"/>
      <c r="E57" s="244"/>
      <c r="F57" s="244"/>
      <c r="G57" s="244"/>
      <c r="H57" s="351" t="s">
        <v>437</v>
      </c>
    </row>
    <row r="58" spans="1:8" ht="10.5" customHeight="1">
      <c r="A58" s="39" t="s">
        <v>157</v>
      </c>
      <c r="B58" s="273" t="s">
        <v>412</v>
      </c>
      <c r="C58" s="365" t="s">
        <v>211</v>
      </c>
      <c r="D58" s="244">
        <v>152.0475</v>
      </c>
      <c r="E58" s="244"/>
      <c r="F58" s="244">
        <v>241.35</v>
      </c>
      <c r="G58" s="244"/>
      <c r="H58" s="352">
        <v>250</v>
      </c>
    </row>
    <row r="59" spans="1:8" ht="10.5" customHeight="1">
      <c r="A59" s="39" t="s">
        <v>160</v>
      </c>
      <c r="B59" s="273" t="s">
        <v>269</v>
      </c>
      <c r="C59" s="365" t="s">
        <v>281</v>
      </c>
      <c r="D59" s="244"/>
      <c r="E59" s="244"/>
      <c r="F59" s="244"/>
      <c r="G59" s="244"/>
      <c r="H59" s="352" t="s">
        <v>437</v>
      </c>
    </row>
    <row r="60" spans="1:8" ht="10.5" customHeight="1">
      <c r="A60" s="39" t="s">
        <v>161</v>
      </c>
      <c r="B60" s="35" t="s">
        <v>154</v>
      </c>
      <c r="C60" s="364" t="s">
        <v>155</v>
      </c>
      <c r="D60" s="244">
        <v>74.9175</v>
      </c>
      <c r="E60" s="244"/>
      <c r="F60" s="244">
        <v>237.825</v>
      </c>
      <c r="G60" s="244"/>
      <c r="H60" s="351">
        <v>857</v>
      </c>
    </row>
    <row r="61" spans="1:8" ht="10.5" customHeight="1">
      <c r="A61" s="39" t="s">
        <v>164</v>
      </c>
      <c r="B61" s="35" t="s">
        <v>158</v>
      </c>
      <c r="C61" s="364" t="s">
        <v>159</v>
      </c>
      <c r="D61" s="244"/>
      <c r="E61" s="244"/>
      <c r="F61" s="244"/>
      <c r="G61" s="244"/>
      <c r="H61" s="351" t="s">
        <v>437</v>
      </c>
    </row>
    <row r="62" spans="1:8" ht="10.5" customHeight="1">
      <c r="A62" s="39" t="s">
        <v>167</v>
      </c>
      <c r="B62" s="35" t="s">
        <v>421</v>
      </c>
      <c r="C62" s="364" t="s">
        <v>163</v>
      </c>
      <c r="D62" s="244"/>
      <c r="E62" s="244">
        <v>517.665</v>
      </c>
      <c r="F62" s="244">
        <v>92.0325</v>
      </c>
      <c r="G62" s="244"/>
      <c r="H62" s="351">
        <v>250</v>
      </c>
    </row>
    <row r="63" spans="1:8" ht="10.5" customHeight="1">
      <c r="A63" s="39" t="s">
        <v>170</v>
      </c>
      <c r="B63" s="35" t="s">
        <v>232</v>
      </c>
      <c r="C63" s="364" t="s">
        <v>233</v>
      </c>
      <c r="D63" s="244"/>
      <c r="E63" s="244"/>
      <c r="F63" s="244">
        <v>52.9875</v>
      </c>
      <c r="G63" s="244"/>
      <c r="H63" s="351">
        <v>250</v>
      </c>
    </row>
    <row r="64" spans="1:8" ht="10.5" customHeight="1">
      <c r="A64" s="39" t="s">
        <v>173</v>
      </c>
      <c r="B64" s="35" t="s">
        <v>165</v>
      </c>
      <c r="C64" s="364" t="s">
        <v>166</v>
      </c>
      <c r="D64" s="244"/>
      <c r="E64" s="244"/>
      <c r="F64" s="244">
        <v>52.29</v>
      </c>
      <c r="G64" s="244"/>
      <c r="H64" s="351" t="s">
        <v>437</v>
      </c>
    </row>
    <row r="65" spans="1:8" ht="10.5" customHeight="1">
      <c r="A65" s="39" t="s">
        <v>176</v>
      </c>
      <c r="B65" s="35" t="s">
        <v>168</v>
      </c>
      <c r="C65" s="364" t="s">
        <v>169</v>
      </c>
      <c r="D65" s="244"/>
      <c r="E65" s="244"/>
      <c r="F65" s="244">
        <v>48.69</v>
      </c>
      <c r="G65" s="244"/>
      <c r="H65" s="351">
        <v>602</v>
      </c>
    </row>
    <row r="66" spans="1:8" ht="10.5" customHeight="1">
      <c r="A66" s="39" t="s">
        <v>179</v>
      </c>
      <c r="B66" s="35" t="s">
        <v>424</v>
      </c>
      <c r="C66" s="364" t="s">
        <v>172</v>
      </c>
      <c r="D66" s="244">
        <v>69.075</v>
      </c>
      <c r="E66" s="244">
        <v>522.42</v>
      </c>
      <c r="F66" s="244">
        <v>203.1675</v>
      </c>
      <c r="G66" s="244"/>
      <c r="H66" s="351" t="s">
        <v>437</v>
      </c>
    </row>
    <row r="67" spans="1:8" ht="10.5" customHeight="1">
      <c r="A67" s="39" t="s">
        <v>182</v>
      </c>
      <c r="B67" s="35" t="s">
        <v>230</v>
      </c>
      <c r="C67" s="364" t="s">
        <v>231</v>
      </c>
      <c r="D67" s="244"/>
      <c r="E67" s="244"/>
      <c r="F67" s="244"/>
      <c r="G67" s="244"/>
      <c r="H67" s="351">
        <v>250</v>
      </c>
    </row>
    <row r="68" spans="1:8" ht="10.5" customHeight="1">
      <c r="A68" s="39" t="s">
        <v>185</v>
      </c>
      <c r="B68" s="35" t="s">
        <v>423</v>
      </c>
      <c r="C68" s="364" t="s">
        <v>432</v>
      </c>
      <c r="D68" s="244"/>
      <c r="E68" s="244"/>
      <c r="F68" s="244">
        <v>186.735</v>
      </c>
      <c r="G68" s="244">
        <v>139.47</v>
      </c>
      <c r="H68" s="351">
        <v>560</v>
      </c>
    </row>
    <row r="69" spans="1:8" ht="10.5" customHeight="1">
      <c r="A69" s="39" t="s">
        <v>188</v>
      </c>
      <c r="B69" s="35" t="s">
        <v>180</v>
      </c>
      <c r="C69" s="364" t="s">
        <v>181</v>
      </c>
      <c r="D69" s="244"/>
      <c r="E69" s="244">
        <v>184.95</v>
      </c>
      <c r="F69" s="244">
        <v>122.79</v>
      </c>
      <c r="G69" s="244"/>
      <c r="H69" s="351">
        <v>250</v>
      </c>
    </row>
    <row r="70" spans="1:8" ht="10.5" customHeight="1">
      <c r="A70" s="39" t="s">
        <v>191</v>
      </c>
      <c r="B70" s="35" t="s">
        <v>409</v>
      </c>
      <c r="C70" s="364" t="s">
        <v>208</v>
      </c>
      <c r="D70" s="244"/>
      <c r="E70" s="244"/>
      <c r="F70" s="244">
        <v>122.79</v>
      </c>
      <c r="G70" s="244"/>
      <c r="H70" s="351">
        <v>250</v>
      </c>
    </row>
    <row r="71" spans="1:8" ht="10.5" customHeight="1">
      <c r="A71" s="39" t="s">
        <v>194</v>
      </c>
      <c r="B71" s="35" t="s">
        <v>183</v>
      </c>
      <c r="C71" s="364" t="s">
        <v>184</v>
      </c>
      <c r="D71" s="244"/>
      <c r="E71" s="244"/>
      <c r="F71" s="244"/>
      <c r="G71" s="244"/>
      <c r="H71" s="351" t="s">
        <v>437</v>
      </c>
    </row>
    <row r="72" spans="1:8" ht="10.5" customHeight="1">
      <c r="A72" s="39" t="s">
        <v>197</v>
      </c>
      <c r="B72" s="35" t="s">
        <v>186</v>
      </c>
      <c r="C72" s="364" t="s">
        <v>187</v>
      </c>
      <c r="D72" s="244"/>
      <c r="E72" s="244"/>
      <c r="F72" s="244">
        <v>28.365</v>
      </c>
      <c r="G72" s="244"/>
      <c r="H72" s="351" t="s">
        <v>437</v>
      </c>
    </row>
    <row r="73" spans="1:8" ht="10.5" customHeight="1">
      <c r="A73" s="39" t="s">
        <v>200</v>
      </c>
      <c r="B73" s="35" t="s">
        <v>189</v>
      </c>
      <c r="C73" s="364" t="s">
        <v>190</v>
      </c>
      <c r="D73" s="244"/>
      <c r="E73" s="244"/>
      <c r="F73" s="244">
        <v>124.905</v>
      </c>
      <c r="G73" s="244"/>
      <c r="H73" s="351">
        <v>250</v>
      </c>
    </row>
    <row r="74" spans="1:8" ht="10.5" customHeight="1">
      <c r="A74" s="39" t="s">
        <v>203</v>
      </c>
      <c r="B74" s="35" t="s">
        <v>192</v>
      </c>
      <c r="C74" s="364" t="s">
        <v>193</v>
      </c>
      <c r="D74" s="244"/>
      <c r="E74" s="244"/>
      <c r="F74" s="244">
        <v>114.8625</v>
      </c>
      <c r="G74" s="244"/>
      <c r="H74" s="351" t="s">
        <v>437</v>
      </c>
    </row>
    <row r="75" spans="1:8" ht="10.5" customHeight="1">
      <c r="A75" s="39" t="s">
        <v>206</v>
      </c>
      <c r="B75" s="35" t="s">
        <v>195</v>
      </c>
      <c r="C75" s="364" t="s">
        <v>196</v>
      </c>
      <c r="D75" s="244"/>
      <c r="E75" s="244"/>
      <c r="F75" s="244">
        <v>113.2725</v>
      </c>
      <c r="G75" s="244"/>
      <c r="H75" s="351">
        <v>350</v>
      </c>
    </row>
    <row r="76" spans="1:8" ht="10.5" customHeight="1">
      <c r="A76" s="39" t="s">
        <v>209</v>
      </c>
      <c r="B76" s="35" t="s">
        <v>236</v>
      </c>
      <c r="C76" s="364" t="s">
        <v>237</v>
      </c>
      <c r="D76" s="244"/>
      <c r="E76" s="244"/>
      <c r="F76" s="244">
        <v>28.185</v>
      </c>
      <c r="G76" s="244"/>
      <c r="H76" s="351" t="s">
        <v>437</v>
      </c>
    </row>
    <row r="77" spans="1:8" ht="10.5" customHeight="1">
      <c r="A77" s="39" t="s">
        <v>212</v>
      </c>
      <c r="B77" s="35" t="s">
        <v>198</v>
      </c>
      <c r="C77" s="364" t="s">
        <v>199</v>
      </c>
      <c r="D77" s="244"/>
      <c r="E77" s="244"/>
      <c r="F77" s="244"/>
      <c r="G77" s="244"/>
      <c r="H77" s="351">
        <v>350</v>
      </c>
    </row>
    <row r="78" spans="1:8" ht="10.5" customHeight="1">
      <c r="A78" s="39" t="s">
        <v>215</v>
      </c>
      <c r="B78" s="35" t="s">
        <v>201</v>
      </c>
      <c r="C78" s="364" t="s">
        <v>202</v>
      </c>
      <c r="D78" s="244"/>
      <c r="E78" s="244"/>
      <c r="F78" s="244"/>
      <c r="G78" s="244"/>
      <c r="H78" s="351" t="s">
        <v>437</v>
      </c>
    </row>
    <row r="79" spans="1:8" ht="10.5" customHeight="1">
      <c r="A79" s="39" t="s">
        <v>218</v>
      </c>
      <c r="B79" s="35" t="s">
        <v>242</v>
      </c>
      <c r="C79" s="364" t="s">
        <v>243</v>
      </c>
      <c r="D79" s="244"/>
      <c r="E79" s="244"/>
      <c r="F79" s="244">
        <v>27.3075</v>
      </c>
      <c r="G79" s="244"/>
      <c r="H79" s="351">
        <v>600</v>
      </c>
    </row>
    <row r="80" spans="1:8" ht="10.5" customHeight="1">
      <c r="A80" s="39" t="s">
        <v>219</v>
      </c>
      <c r="B80" s="35" t="s">
        <v>204</v>
      </c>
      <c r="C80" s="364" t="s">
        <v>205</v>
      </c>
      <c r="D80" s="244"/>
      <c r="E80" s="244"/>
      <c r="F80" s="244">
        <v>157.845</v>
      </c>
      <c r="G80" s="244"/>
      <c r="H80" s="351">
        <v>650</v>
      </c>
    </row>
    <row r="81" spans="1:8" ht="10.5" customHeight="1">
      <c r="A81" s="39" t="s">
        <v>220</v>
      </c>
      <c r="B81" s="35" t="s">
        <v>411</v>
      </c>
      <c r="C81" s="113">
        <v>209</v>
      </c>
      <c r="D81" s="244">
        <v>107.19</v>
      </c>
      <c r="E81" s="244"/>
      <c r="F81" s="244">
        <v>236.7675</v>
      </c>
      <c r="G81" s="244"/>
      <c r="H81" s="351">
        <v>350</v>
      </c>
    </row>
    <row r="82" spans="1:8" ht="10.5" customHeight="1">
      <c r="A82" s="39" t="s">
        <v>223</v>
      </c>
      <c r="B82" s="273" t="s">
        <v>433</v>
      </c>
      <c r="C82" s="365" t="s">
        <v>60</v>
      </c>
      <c r="D82" s="244"/>
      <c r="E82" s="244"/>
      <c r="F82" s="244">
        <v>228.84</v>
      </c>
      <c r="G82" s="244">
        <v>497.73</v>
      </c>
      <c r="H82" s="352">
        <v>580</v>
      </c>
    </row>
    <row r="83" spans="1:8" ht="10.5" customHeight="1">
      <c r="A83" s="39" t="s">
        <v>226</v>
      </c>
      <c r="B83" s="273" t="s">
        <v>422</v>
      </c>
      <c r="C83" s="365" t="s">
        <v>434</v>
      </c>
      <c r="D83" s="244"/>
      <c r="E83" s="244">
        <v>184.95</v>
      </c>
      <c r="F83" s="244">
        <v>79.365</v>
      </c>
      <c r="G83" s="244"/>
      <c r="H83" s="352" t="s">
        <v>437</v>
      </c>
    </row>
    <row r="84" spans="1:8" ht="10.5" customHeight="1">
      <c r="A84" s="39" t="s">
        <v>229</v>
      </c>
      <c r="B84" s="35" t="s">
        <v>428</v>
      </c>
      <c r="C84" s="113">
        <v>217</v>
      </c>
      <c r="D84" s="244"/>
      <c r="E84" s="244"/>
      <c r="F84" s="244">
        <v>193.26</v>
      </c>
      <c r="G84" s="244">
        <v>406.155</v>
      </c>
      <c r="H84" s="351" t="s">
        <v>437</v>
      </c>
    </row>
    <row r="85" spans="1:8" ht="10.5" customHeight="1">
      <c r="A85" s="39" t="s">
        <v>297</v>
      </c>
      <c r="B85" s="35" t="s">
        <v>435</v>
      </c>
      <c r="C85" s="113">
        <v>221</v>
      </c>
      <c r="D85" s="244"/>
      <c r="E85" s="244"/>
      <c r="F85" s="244"/>
      <c r="G85" s="244">
        <v>270.7725</v>
      </c>
      <c r="H85" s="351">
        <v>554</v>
      </c>
    </row>
    <row r="86" spans="1:8" ht="10.5" customHeight="1">
      <c r="A86" s="39" t="s">
        <v>300</v>
      </c>
      <c r="B86" s="35" t="s">
        <v>436</v>
      </c>
      <c r="C86" s="113">
        <v>222</v>
      </c>
      <c r="D86" s="244"/>
      <c r="E86" s="244"/>
      <c r="F86" s="244">
        <v>183.8175</v>
      </c>
      <c r="G86" s="244"/>
      <c r="H86" s="351">
        <v>487.5</v>
      </c>
    </row>
    <row r="87" spans="1:8" ht="10.5" customHeight="1">
      <c r="A87" s="39" t="s">
        <v>393</v>
      </c>
      <c r="B87" s="35" t="s">
        <v>438</v>
      </c>
      <c r="C87" s="113">
        <v>223</v>
      </c>
      <c r="D87" s="244">
        <v>124.7175</v>
      </c>
      <c r="E87" s="244"/>
      <c r="F87" s="244">
        <v>245.7525</v>
      </c>
      <c r="G87" s="244"/>
      <c r="H87" s="351">
        <v>824</v>
      </c>
    </row>
    <row r="88" spans="1:8" ht="10.5" customHeight="1">
      <c r="A88" s="39" t="s">
        <v>420</v>
      </c>
      <c r="B88" s="35" t="s">
        <v>441</v>
      </c>
      <c r="C88" s="113">
        <v>225</v>
      </c>
      <c r="D88" s="244"/>
      <c r="E88" s="244"/>
      <c r="F88" s="244">
        <v>0</v>
      </c>
      <c r="G88" s="244"/>
      <c r="H88" s="35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52">
      <selection activeCell="E31" sqref="E31"/>
    </sheetView>
  </sheetViews>
  <sheetFormatPr defaultColWidth="9.140625" defaultRowHeight="15"/>
  <cols>
    <col min="1" max="1" width="3.421875" style="0" bestFit="1" customWidth="1"/>
    <col min="2" max="2" width="34.57421875" style="0" customWidth="1"/>
    <col min="3" max="3" width="4.421875" style="110" bestFit="1" customWidth="1"/>
    <col min="4" max="4" width="10.7109375" style="0" bestFit="1" customWidth="1"/>
    <col min="5" max="5" width="12.140625" style="0" bestFit="1" customWidth="1"/>
    <col min="6" max="6" width="13.00390625" style="110" customWidth="1"/>
    <col min="7" max="7" width="12.140625" style="110" bestFit="1" customWidth="1"/>
    <col min="8" max="8" width="12.140625" style="110" customWidth="1"/>
    <col min="9" max="9" width="11.8515625" style="110" bestFit="1" customWidth="1"/>
    <col min="10" max="10" width="12.421875" style="391" customWidth="1"/>
    <col min="11" max="11" width="10.421875" style="0" bestFit="1" customWidth="1"/>
    <col min="12" max="12" width="7.57421875" style="0" bestFit="1" customWidth="1"/>
  </cols>
  <sheetData>
    <row r="1" spans="1:12" ht="15">
      <c r="A1" s="427" t="s">
        <v>492</v>
      </c>
      <c r="B1" s="427"/>
      <c r="C1" s="428" t="s">
        <v>484</v>
      </c>
      <c r="D1" s="429"/>
      <c r="E1" s="429"/>
      <c r="F1" s="429"/>
      <c r="G1" s="429"/>
      <c r="H1" s="429"/>
      <c r="I1" s="429"/>
      <c r="J1" s="389"/>
      <c r="K1" s="28"/>
      <c r="L1" s="350"/>
    </row>
    <row r="2" spans="1:12" ht="15">
      <c r="A2" s="28"/>
      <c r="B2" s="28"/>
      <c r="C2" s="116"/>
      <c r="D2" s="366"/>
      <c r="E2" s="366"/>
      <c r="F2" s="392"/>
      <c r="G2" s="116"/>
      <c r="H2" s="116"/>
      <c r="I2" s="116"/>
      <c r="J2" s="389"/>
      <c r="K2" s="28"/>
      <c r="L2" s="350"/>
    </row>
    <row r="3" spans="1:10" ht="30" customHeight="1">
      <c r="A3" s="290" t="s">
        <v>292</v>
      </c>
      <c r="B3" s="290" t="s">
        <v>17</v>
      </c>
      <c r="C3" s="290" t="s">
        <v>254</v>
      </c>
      <c r="D3" s="367" t="s">
        <v>474</v>
      </c>
      <c r="E3" s="294" t="s">
        <v>476</v>
      </c>
      <c r="F3" s="290" t="s">
        <v>398</v>
      </c>
      <c r="G3" s="382" t="s">
        <v>475</v>
      </c>
      <c r="H3" s="382" t="s">
        <v>478</v>
      </c>
      <c r="I3" s="290" t="s">
        <v>25</v>
      </c>
      <c r="J3" s="356" t="s">
        <v>408</v>
      </c>
    </row>
    <row r="4" spans="1:10" ht="12" customHeight="1">
      <c r="A4" s="39" t="s">
        <v>1</v>
      </c>
      <c r="B4" s="35" t="s">
        <v>224</v>
      </c>
      <c r="C4" s="36" t="s">
        <v>225</v>
      </c>
      <c r="D4" s="368" t="s">
        <v>437</v>
      </c>
      <c r="E4" s="100" t="s">
        <v>437</v>
      </c>
      <c r="F4" s="100" t="s">
        <v>437</v>
      </c>
      <c r="G4" s="383" t="s">
        <v>437</v>
      </c>
      <c r="H4" s="383" t="s">
        <v>437</v>
      </c>
      <c r="I4" s="100" t="s">
        <v>437</v>
      </c>
      <c r="J4" s="351">
        <v>554</v>
      </c>
    </row>
    <row r="5" spans="1:10" ht="12" customHeight="1">
      <c r="A5" s="39" t="s">
        <v>2</v>
      </c>
      <c r="B5" s="273" t="s">
        <v>406</v>
      </c>
      <c r="C5" s="274" t="s">
        <v>407</v>
      </c>
      <c r="D5" s="368" t="s">
        <v>437</v>
      </c>
      <c r="E5" s="272" t="s">
        <v>437</v>
      </c>
      <c r="F5" s="272" t="s">
        <v>437</v>
      </c>
      <c r="G5" s="383" t="s">
        <v>437</v>
      </c>
      <c r="H5" s="383" t="s">
        <v>437</v>
      </c>
      <c r="I5" s="272" t="s">
        <v>437</v>
      </c>
      <c r="J5" s="352">
        <v>602</v>
      </c>
    </row>
    <row r="6" spans="1:10" ht="12" customHeight="1">
      <c r="A6" s="39" t="s">
        <v>3</v>
      </c>
      <c r="B6" s="35" t="s">
        <v>29</v>
      </c>
      <c r="C6" s="36" t="s">
        <v>31</v>
      </c>
      <c r="D6" s="368"/>
      <c r="E6" s="100" t="s">
        <v>437</v>
      </c>
      <c r="F6" s="100" t="s">
        <v>437</v>
      </c>
      <c r="G6" s="383">
        <v>88</v>
      </c>
      <c r="H6" s="383">
        <v>29.58</v>
      </c>
      <c r="I6" s="100" t="s">
        <v>437</v>
      </c>
      <c r="J6" s="351" t="s">
        <v>437</v>
      </c>
    </row>
    <row r="7" spans="1:10" ht="12" customHeight="1">
      <c r="A7" s="39" t="s">
        <v>4</v>
      </c>
      <c r="B7" s="35" t="s">
        <v>33</v>
      </c>
      <c r="C7" s="36" t="s">
        <v>32</v>
      </c>
      <c r="D7" s="368"/>
      <c r="E7" s="100" t="s">
        <v>437</v>
      </c>
      <c r="F7" s="100" t="s">
        <v>437</v>
      </c>
      <c r="G7" s="383">
        <v>72</v>
      </c>
      <c r="H7" s="383">
        <v>22.5</v>
      </c>
      <c r="I7" s="100" t="s">
        <v>437</v>
      </c>
      <c r="J7" s="351">
        <v>250</v>
      </c>
    </row>
    <row r="8" spans="1:10" ht="12" customHeight="1">
      <c r="A8" s="39" t="s">
        <v>5</v>
      </c>
      <c r="B8" s="35" t="s">
        <v>34</v>
      </c>
      <c r="C8" s="36" t="s">
        <v>35</v>
      </c>
      <c r="D8" s="368" t="s">
        <v>437</v>
      </c>
      <c r="E8" s="100" t="s">
        <v>437</v>
      </c>
      <c r="F8" s="100" t="s">
        <v>437</v>
      </c>
      <c r="G8" s="383">
        <v>72</v>
      </c>
      <c r="H8" s="383">
        <v>21.25</v>
      </c>
      <c r="I8" s="100" t="s">
        <v>437</v>
      </c>
      <c r="J8" s="351">
        <v>560</v>
      </c>
    </row>
    <row r="9" spans="1:10" ht="12" customHeight="1">
      <c r="A9" s="39" t="s">
        <v>6</v>
      </c>
      <c r="B9" s="35" t="s">
        <v>36</v>
      </c>
      <c r="C9" s="36" t="s">
        <v>37</v>
      </c>
      <c r="D9" s="368" t="s">
        <v>437</v>
      </c>
      <c r="E9" s="100" t="s">
        <v>437</v>
      </c>
      <c r="F9" s="100" t="s">
        <v>437</v>
      </c>
      <c r="G9" s="383">
        <v>56</v>
      </c>
      <c r="H9" s="383">
        <v>15.33</v>
      </c>
      <c r="I9" s="100" t="s">
        <v>437</v>
      </c>
      <c r="J9" s="351" t="s">
        <v>437</v>
      </c>
    </row>
    <row r="10" spans="1:10" ht="12" customHeight="1">
      <c r="A10" s="39" t="s">
        <v>7</v>
      </c>
      <c r="B10" s="35" t="s">
        <v>38</v>
      </c>
      <c r="C10" s="36" t="s">
        <v>39</v>
      </c>
      <c r="D10" s="368"/>
      <c r="E10" s="100" t="s">
        <v>437</v>
      </c>
      <c r="F10" s="100" t="s">
        <v>437</v>
      </c>
      <c r="G10" s="383">
        <v>72</v>
      </c>
      <c r="H10" s="383">
        <v>21.92</v>
      </c>
      <c r="I10" s="100" t="s">
        <v>437</v>
      </c>
      <c r="J10" s="351" t="s">
        <v>437</v>
      </c>
    </row>
    <row r="11" spans="1:10" ht="12" customHeight="1">
      <c r="A11" s="39" t="s">
        <v>8</v>
      </c>
      <c r="B11" s="35" t="s">
        <v>40</v>
      </c>
      <c r="C11" s="36" t="s">
        <v>41</v>
      </c>
      <c r="D11" s="368" t="s">
        <v>437</v>
      </c>
      <c r="E11" s="100" t="s">
        <v>437</v>
      </c>
      <c r="F11" s="100" t="s">
        <v>437</v>
      </c>
      <c r="G11" s="383" t="s">
        <v>437</v>
      </c>
      <c r="H11" s="383" t="s">
        <v>437</v>
      </c>
      <c r="I11" s="100">
        <v>706.55</v>
      </c>
      <c r="J11" s="351" t="s">
        <v>437</v>
      </c>
    </row>
    <row r="12" spans="1:10" ht="12" customHeight="1">
      <c r="A12" s="39" t="s">
        <v>9</v>
      </c>
      <c r="B12" s="35" t="s">
        <v>44</v>
      </c>
      <c r="C12" s="36" t="s">
        <v>45</v>
      </c>
      <c r="D12" s="368" t="s">
        <v>437</v>
      </c>
      <c r="E12" s="39">
        <v>9</v>
      </c>
      <c r="F12" s="100" t="s">
        <v>437</v>
      </c>
      <c r="G12" s="383">
        <v>56</v>
      </c>
      <c r="H12" s="383">
        <v>16.42</v>
      </c>
      <c r="I12" s="100" t="s">
        <v>437</v>
      </c>
      <c r="J12" s="351">
        <v>250</v>
      </c>
    </row>
    <row r="13" spans="1:10" ht="12" customHeight="1">
      <c r="A13" s="39" t="s">
        <v>30</v>
      </c>
      <c r="B13" s="35" t="s">
        <v>47</v>
      </c>
      <c r="C13" s="36" t="s">
        <v>48</v>
      </c>
      <c r="D13" s="368" t="s">
        <v>437</v>
      </c>
      <c r="E13" s="100" t="s">
        <v>437</v>
      </c>
      <c r="F13" s="100" t="s">
        <v>437</v>
      </c>
      <c r="G13" s="383">
        <v>56</v>
      </c>
      <c r="H13" s="383">
        <v>17.58</v>
      </c>
      <c r="I13" s="100" t="s">
        <v>437</v>
      </c>
      <c r="J13" s="351" t="s">
        <v>437</v>
      </c>
    </row>
    <row r="14" spans="1:10" ht="12" customHeight="1">
      <c r="A14" s="39" t="s">
        <v>10</v>
      </c>
      <c r="B14" s="35" t="s">
        <v>248</v>
      </c>
      <c r="C14" s="36" t="s">
        <v>249</v>
      </c>
      <c r="D14" s="368" t="s">
        <v>437</v>
      </c>
      <c r="E14" s="100" t="s">
        <v>437</v>
      </c>
      <c r="F14" s="100" t="s">
        <v>437</v>
      </c>
      <c r="G14" s="383">
        <v>72</v>
      </c>
      <c r="H14" s="383">
        <v>20.92</v>
      </c>
      <c r="I14" s="100" t="s">
        <v>437</v>
      </c>
      <c r="J14" s="351">
        <v>350</v>
      </c>
    </row>
    <row r="15" spans="1:10" ht="12" customHeight="1">
      <c r="A15" s="39" t="s">
        <v>11</v>
      </c>
      <c r="B15" s="273" t="s">
        <v>49</v>
      </c>
      <c r="C15" s="274" t="s">
        <v>50</v>
      </c>
      <c r="D15" s="368" t="s">
        <v>437</v>
      </c>
      <c r="E15" s="272" t="s">
        <v>437</v>
      </c>
      <c r="F15" s="272" t="s">
        <v>437</v>
      </c>
      <c r="G15" s="383">
        <v>30</v>
      </c>
      <c r="H15" s="383"/>
      <c r="I15" s="272"/>
      <c r="J15" s="352">
        <v>400</v>
      </c>
    </row>
    <row r="16" spans="1:10" ht="12" customHeight="1">
      <c r="A16" s="39" t="s">
        <v>12</v>
      </c>
      <c r="B16" s="35" t="s">
        <v>251</v>
      </c>
      <c r="C16" s="36" t="s">
        <v>53</v>
      </c>
      <c r="D16" s="368" t="s">
        <v>437</v>
      </c>
      <c r="E16" s="100" t="s">
        <v>437</v>
      </c>
      <c r="F16" s="100" t="s">
        <v>437</v>
      </c>
      <c r="G16" s="383">
        <v>34</v>
      </c>
      <c r="H16" s="383"/>
      <c r="I16" s="100"/>
      <c r="J16" s="351">
        <v>400</v>
      </c>
    </row>
    <row r="17" spans="1:10" ht="12" customHeight="1">
      <c r="A17" s="39" t="s">
        <v>13</v>
      </c>
      <c r="B17" s="35" t="s">
        <v>54</v>
      </c>
      <c r="C17" s="36" t="s">
        <v>55</v>
      </c>
      <c r="D17" s="368" t="s">
        <v>437</v>
      </c>
      <c r="E17" s="100" t="s">
        <v>437</v>
      </c>
      <c r="F17" s="100" t="s">
        <v>437</v>
      </c>
      <c r="G17" s="383">
        <v>72</v>
      </c>
      <c r="H17" s="383">
        <v>20.92</v>
      </c>
      <c r="I17" s="100" t="s">
        <v>437</v>
      </c>
      <c r="J17" s="351">
        <v>350</v>
      </c>
    </row>
    <row r="18" spans="1:10" ht="12" customHeight="1">
      <c r="A18" s="39" t="s">
        <v>14</v>
      </c>
      <c r="B18" s="35" t="s">
        <v>246</v>
      </c>
      <c r="C18" s="36" t="s">
        <v>247</v>
      </c>
      <c r="D18" s="368" t="s">
        <v>437</v>
      </c>
      <c r="E18" s="100" t="s">
        <v>437</v>
      </c>
      <c r="F18" s="100" t="s">
        <v>437</v>
      </c>
      <c r="G18" s="383">
        <v>56</v>
      </c>
      <c r="H18" s="383">
        <v>15</v>
      </c>
      <c r="I18" s="100" t="s">
        <v>437</v>
      </c>
      <c r="J18" s="351">
        <v>600</v>
      </c>
    </row>
    <row r="19" spans="1:10" ht="12" customHeight="1">
      <c r="A19" s="39" t="s">
        <v>15</v>
      </c>
      <c r="B19" s="35" t="s">
        <v>449</v>
      </c>
      <c r="C19" s="36" t="s">
        <v>214</v>
      </c>
      <c r="D19" s="368" t="s">
        <v>437</v>
      </c>
      <c r="E19" s="100" t="s">
        <v>437</v>
      </c>
      <c r="F19" s="100" t="s">
        <v>437</v>
      </c>
      <c r="G19" s="383" t="s">
        <v>437</v>
      </c>
      <c r="H19" s="383"/>
      <c r="I19" s="100"/>
      <c r="J19" s="351" t="s">
        <v>437</v>
      </c>
    </row>
    <row r="20" spans="1:10" ht="12" customHeight="1">
      <c r="A20" s="39" t="s">
        <v>16</v>
      </c>
      <c r="B20" s="35" t="s">
        <v>70</v>
      </c>
      <c r="C20" s="36" t="s">
        <v>71</v>
      </c>
      <c r="D20" s="368" t="s">
        <v>437</v>
      </c>
      <c r="E20" s="100" t="s">
        <v>437</v>
      </c>
      <c r="F20" s="100" t="s">
        <v>437</v>
      </c>
      <c r="G20" s="383">
        <v>38</v>
      </c>
      <c r="H20" s="383"/>
      <c r="I20" s="100"/>
      <c r="J20" s="351">
        <v>400</v>
      </c>
    </row>
    <row r="21" spans="1:10" ht="12" customHeight="1">
      <c r="A21" s="39" t="s">
        <v>58</v>
      </c>
      <c r="B21" s="35" t="s">
        <v>252</v>
      </c>
      <c r="C21" s="36" t="s">
        <v>62</v>
      </c>
      <c r="D21" s="368" t="s">
        <v>437</v>
      </c>
      <c r="E21" s="100" t="s">
        <v>437</v>
      </c>
      <c r="F21" s="100" t="s">
        <v>437</v>
      </c>
      <c r="G21" s="383" t="s">
        <v>437</v>
      </c>
      <c r="H21" s="383"/>
      <c r="I21" s="100">
        <v>673.35</v>
      </c>
      <c r="J21" s="351">
        <v>810</v>
      </c>
    </row>
    <row r="22" spans="1:10" ht="12" customHeight="1">
      <c r="A22" s="39" t="s">
        <v>61</v>
      </c>
      <c r="B22" s="35" t="s">
        <v>64</v>
      </c>
      <c r="C22" s="36" t="s">
        <v>65</v>
      </c>
      <c r="D22" s="368" t="s">
        <v>437</v>
      </c>
      <c r="E22" s="100">
        <v>4.5</v>
      </c>
      <c r="F22" s="100" t="s">
        <v>437</v>
      </c>
      <c r="G22" s="383">
        <v>72</v>
      </c>
      <c r="H22" s="383">
        <v>27.92</v>
      </c>
      <c r="I22" s="100" t="s">
        <v>437</v>
      </c>
      <c r="J22" s="351" t="s">
        <v>437</v>
      </c>
    </row>
    <row r="23" spans="1:10" ht="12" customHeight="1">
      <c r="A23" s="39" t="s">
        <v>63</v>
      </c>
      <c r="B23" s="35" t="s">
        <v>454</v>
      </c>
      <c r="C23" s="36" t="s">
        <v>68</v>
      </c>
      <c r="D23" s="368" t="s">
        <v>437</v>
      </c>
      <c r="E23" s="100" t="s">
        <v>437</v>
      </c>
      <c r="F23" s="100" t="s">
        <v>437</v>
      </c>
      <c r="G23" s="383">
        <v>72</v>
      </c>
      <c r="H23" s="383"/>
      <c r="I23" s="100" t="s">
        <v>455</v>
      </c>
      <c r="J23" s="351">
        <v>857</v>
      </c>
    </row>
    <row r="24" spans="1:10" ht="12" customHeight="1">
      <c r="A24" s="39" t="s">
        <v>66</v>
      </c>
      <c r="B24" s="35" t="s">
        <v>73</v>
      </c>
      <c r="C24" s="36" t="s">
        <v>74</v>
      </c>
      <c r="D24" s="368"/>
      <c r="E24" s="100" t="s">
        <v>437</v>
      </c>
      <c r="F24" s="100">
        <v>1.5</v>
      </c>
      <c r="G24" s="383">
        <v>56</v>
      </c>
      <c r="H24" s="383">
        <v>16.25</v>
      </c>
      <c r="I24" s="100" t="s">
        <v>437</v>
      </c>
      <c r="J24" s="351">
        <v>502</v>
      </c>
    </row>
    <row r="25" spans="1:10" ht="12" customHeight="1">
      <c r="A25" s="39" t="s">
        <v>69</v>
      </c>
      <c r="B25" s="35" t="s">
        <v>239</v>
      </c>
      <c r="C25" s="36" t="s">
        <v>76</v>
      </c>
      <c r="D25" s="368"/>
      <c r="E25" s="100" t="s">
        <v>437</v>
      </c>
      <c r="F25" s="100">
        <v>22.5</v>
      </c>
      <c r="G25" s="383">
        <v>72</v>
      </c>
      <c r="H25" s="383">
        <v>24.08</v>
      </c>
      <c r="I25" s="100" t="s">
        <v>437</v>
      </c>
      <c r="J25" s="351" t="s">
        <v>437</v>
      </c>
    </row>
    <row r="26" spans="1:10" ht="12" customHeight="1">
      <c r="A26" s="39" t="s">
        <v>72</v>
      </c>
      <c r="B26" s="35" t="s">
        <v>78</v>
      </c>
      <c r="C26" s="36" t="s">
        <v>79</v>
      </c>
      <c r="D26" s="368"/>
      <c r="E26" s="100" t="s">
        <v>437</v>
      </c>
      <c r="F26" s="100" t="s">
        <v>437</v>
      </c>
      <c r="G26" s="383">
        <v>72</v>
      </c>
      <c r="H26" s="383">
        <v>26.08</v>
      </c>
      <c r="I26" s="100" t="s">
        <v>437</v>
      </c>
      <c r="J26" s="351" t="s">
        <v>437</v>
      </c>
    </row>
    <row r="27" spans="1:10" ht="12" customHeight="1">
      <c r="A27" s="39" t="s">
        <v>75</v>
      </c>
      <c r="B27" s="35" t="s">
        <v>490</v>
      </c>
      <c r="C27" s="36" t="s">
        <v>85</v>
      </c>
      <c r="D27" s="368" t="s">
        <v>437</v>
      </c>
      <c r="E27" s="100" t="s">
        <v>437</v>
      </c>
      <c r="F27" s="100" t="s">
        <v>437</v>
      </c>
      <c r="G27" s="383" t="s">
        <v>437</v>
      </c>
      <c r="H27" s="383" t="s">
        <v>437</v>
      </c>
      <c r="I27" s="100" t="s">
        <v>437</v>
      </c>
      <c r="J27" s="351" t="s">
        <v>437</v>
      </c>
    </row>
    <row r="28" spans="1:10" ht="12" customHeight="1">
      <c r="A28" s="39" t="s">
        <v>77</v>
      </c>
      <c r="B28" s="35" t="s">
        <v>87</v>
      </c>
      <c r="C28" s="36" t="s">
        <v>88</v>
      </c>
      <c r="D28" s="368"/>
      <c r="E28" s="100" t="s">
        <v>437</v>
      </c>
      <c r="F28" s="100"/>
      <c r="G28" s="383">
        <v>64</v>
      </c>
      <c r="H28" s="383">
        <v>28.17</v>
      </c>
      <c r="I28" s="100" t="s">
        <v>437</v>
      </c>
      <c r="J28" s="351" t="s">
        <v>437</v>
      </c>
    </row>
    <row r="29" spans="1:10" ht="12" customHeight="1">
      <c r="A29" s="39" t="s">
        <v>80</v>
      </c>
      <c r="B29" s="35" t="s">
        <v>479</v>
      </c>
      <c r="C29" s="36" t="s">
        <v>430</v>
      </c>
      <c r="D29" s="368"/>
      <c r="E29" s="100" t="s">
        <v>437</v>
      </c>
      <c r="F29" s="100"/>
      <c r="G29" s="383">
        <v>80</v>
      </c>
      <c r="H29" s="383">
        <v>29</v>
      </c>
      <c r="I29" s="100" t="s">
        <v>437</v>
      </c>
      <c r="J29" s="351">
        <v>955</v>
      </c>
    </row>
    <row r="30" spans="1:10" ht="12" customHeight="1">
      <c r="A30" s="39" t="s">
        <v>83</v>
      </c>
      <c r="B30" s="35" t="s">
        <v>491</v>
      </c>
      <c r="C30" s="36" t="s">
        <v>429</v>
      </c>
      <c r="D30" s="368"/>
      <c r="E30" s="100" t="s">
        <v>437</v>
      </c>
      <c r="F30" s="100"/>
      <c r="G30" s="383">
        <v>72</v>
      </c>
      <c r="H30" s="383">
        <v>31.42</v>
      </c>
      <c r="I30" s="100" t="s">
        <v>437</v>
      </c>
      <c r="J30" s="351" t="s">
        <v>437</v>
      </c>
    </row>
    <row r="31" spans="1:10" ht="12" customHeight="1">
      <c r="A31" s="39" t="s">
        <v>86</v>
      </c>
      <c r="B31" s="35" t="s">
        <v>221</v>
      </c>
      <c r="C31" s="36" t="s">
        <v>222</v>
      </c>
      <c r="D31" s="368" t="s">
        <v>437</v>
      </c>
      <c r="E31" s="39">
        <v>9</v>
      </c>
      <c r="F31" s="100">
        <v>3</v>
      </c>
      <c r="G31" s="383">
        <v>72</v>
      </c>
      <c r="H31" s="383">
        <v>25.58</v>
      </c>
      <c r="I31" s="100" t="s">
        <v>437</v>
      </c>
      <c r="J31" s="351">
        <v>1956</v>
      </c>
    </row>
    <row r="32" spans="1:10" ht="12" customHeight="1">
      <c r="A32" s="39" t="s">
        <v>89</v>
      </c>
      <c r="B32" s="35" t="s">
        <v>253</v>
      </c>
      <c r="C32" s="36" t="s">
        <v>97</v>
      </c>
      <c r="D32" s="368"/>
      <c r="E32" s="100" t="s">
        <v>437</v>
      </c>
      <c r="F32" s="100">
        <v>58.5</v>
      </c>
      <c r="G32" s="383">
        <v>56</v>
      </c>
      <c r="H32" s="383">
        <v>17.42</v>
      </c>
      <c r="I32" s="100"/>
      <c r="J32" s="351" t="s">
        <v>437</v>
      </c>
    </row>
    <row r="33" spans="1:10" ht="12" customHeight="1">
      <c r="A33" s="39" t="s">
        <v>92</v>
      </c>
      <c r="B33" s="35" t="s">
        <v>99</v>
      </c>
      <c r="C33" s="36" t="s">
        <v>100</v>
      </c>
      <c r="D33" s="368"/>
      <c r="E33" s="100" t="s">
        <v>437</v>
      </c>
      <c r="F33" s="100">
        <v>60</v>
      </c>
      <c r="G33" s="383">
        <v>56</v>
      </c>
      <c r="H33" s="383">
        <v>27.25</v>
      </c>
      <c r="I33" s="100" t="s">
        <v>437</v>
      </c>
      <c r="J33" s="351" t="s">
        <v>437</v>
      </c>
    </row>
    <row r="34" spans="1:10" ht="12" customHeight="1">
      <c r="A34" s="39" t="s">
        <v>93</v>
      </c>
      <c r="B34" s="35" t="s">
        <v>487</v>
      </c>
      <c r="C34" s="36" t="s">
        <v>103</v>
      </c>
      <c r="D34" s="368"/>
      <c r="E34" s="100" t="s">
        <v>437</v>
      </c>
      <c r="F34" s="100" t="s">
        <v>437</v>
      </c>
      <c r="G34" s="383">
        <v>72</v>
      </c>
      <c r="H34" s="383">
        <v>29.42</v>
      </c>
      <c r="I34" s="100" t="s">
        <v>437</v>
      </c>
      <c r="J34" s="351">
        <v>250</v>
      </c>
    </row>
    <row r="35" spans="1:10" ht="12" customHeight="1">
      <c r="A35" s="39" t="s">
        <v>96</v>
      </c>
      <c r="B35" s="35" t="s">
        <v>450</v>
      </c>
      <c r="C35" s="36" t="s">
        <v>245</v>
      </c>
      <c r="D35" s="368" t="s">
        <v>437</v>
      </c>
      <c r="E35" s="100" t="s">
        <v>437</v>
      </c>
      <c r="F35" s="100" t="s">
        <v>437</v>
      </c>
      <c r="G35" s="383" t="s">
        <v>437</v>
      </c>
      <c r="H35" s="383" t="s">
        <v>437</v>
      </c>
      <c r="I35" s="100" t="s">
        <v>437</v>
      </c>
      <c r="J35" s="351" t="s">
        <v>437</v>
      </c>
    </row>
    <row r="36" spans="1:10" ht="12" customHeight="1">
      <c r="A36" s="39" t="s">
        <v>98</v>
      </c>
      <c r="B36" s="35" t="s">
        <v>291</v>
      </c>
      <c r="C36" s="36" t="s">
        <v>106</v>
      </c>
      <c r="D36" s="368"/>
      <c r="E36" s="100" t="s">
        <v>437</v>
      </c>
      <c r="F36" s="100" t="s">
        <v>437</v>
      </c>
      <c r="G36" s="383">
        <v>64</v>
      </c>
      <c r="H36" s="383">
        <v>20</v>
      </c>
      <c r="I36" s="100" t="s">
        <v>437</v>
      </c>
      <c r="J36" s="351">
        <v>729</v>
      </c>
    </row>
    <row r="37" spans="1:10" ht="12" customHeight="1">
      <c r="A37" s="39" t="s">
        <v>101</v>
      </c>
      <c r="B37" s="35" t="s">
        <v>108</v>
      </c>
      <c r="C37" s="36" t="s">
        <v>109</v>
      </c>
      <c r="D37" s="368" t="s">
        <v>437</v>
      </c>
      <c r="E37" s="39">
        <v>9</v>
      </c>
      <c r="F37" s="100" t="s">
        <v>437</v>
      </c>
      <c r="G37" s="383">
        <v>80</v>
      </c>
      <c r="H37" s="383">
        <v>32.75</v>
      </c>
      <c r="I37" s="100"/>
      <c r="J37" s="351">
        <v>855</v>
      </c>
    </row>
    <row r="38" spans="1:10" ht="12" customHeight="1">
      <c r="A38" s="317"/>
      <c r="B38" s="82"/>
      <c r="C38" s="161"/>
      <c r="D38" s="370"/>
      <c r="E38" s="385"/>
      <c r="F38" s="385"/>
      <c r="G38" s="384"/>
      <c r="H38" s="384"/>
      <c r="I38" s="385"/>
      <c r="J38" s="354"/>
    </row>
    <row r="39" spans="1:10" ht="30" customHeight="1">
      <c r="A39" s="290" t="s">
        <v>292</v>
      </c>
      <c r="B39" s="290" t="s">
        <v>17</v>
      </c>
      <c r="C39" s="290" t="s">
        <v>254</v>
      </c>
      <c r="D39" s="367" t="s">
        <v>474</v>
      </c>
      <c r="E39" s="294" t="s">
        <v>397</v>
      </c>
      <c r="F39" s="290" t="s">
        <v>398</v>
      </c>
      <c r="G39" s="382" t="s">
        <v>475</v>
      </c>
      <c r="H39" s="382" t="s">
        <v>478</v>
      </c>
      <c r="I39" s="290" t="s">
        <v>25</v>
      </c>
      <c r="J39" s="357" t="s">
        <v>408</v>
      </c>
    </row>
    <row r="40" spans="1:10" ht="12" customHeight="1">
      <c r="A40" s="39" t="s">
        <v>104</v>
      </c>
      <c r="B40" s="35" t="s">
        <v>459</v>
      </c>
      <c r="C40" s="36" t="s">
        <v>112</v>
      </c>
      <c r="D40" s="368"/>
      <c r="E40" s="100" t="s">
        <v>437</v>
      </c>
      <c r="F40" s="100" t="s">
        <v>437</v>
      </c>
      <c r="G40" s="383">
        <v>64</v>
      </c>
      <c r="H40" s="383">
        <v>22.83</v>
      </c>
      <c r="I40" s="100" t="s">
        <v>437</v>
      </c>
      <c r="J40" s="351">
        <v>250</v>
      </c>
    </row>
    <row r="41" spans="1:10" ht="12" customHeight="1">
      <c r="A41" s="39" t="s">
        <v>107</v>
      </c>
      <c r="B41" s="35" t="s">
        <v>114</v>
      </c>
      <c r="C41" s="36" t="s">
        <v>115</v>
      </c>
      <c r="D41" s="368"/>
      <c r="E41" s="100" t="s">
        <v>437</v>
      </c>
      <c r="F41" s="100" t="s">
        <v>437</v>
      </c>
      <c r="G41" s="383">
        <v>64</v>
      </c>
      <c r="H41" s="383">
        <v>21.17</v>
      </c>
      <c r="I41" s="100" t="s">
        <v>437</v>
      </c>
      <c r="J41" s="351" t="s">
        <v>437</v>
      </c>
    </row>
    <row r="42" spans="1:10" ht="12" customHeight="1">
      <c r="A42" s="39" t="s">
        <v>110</v>
      </c>
      <c r="B42" s="35" t="s">
        <v>117</v>
      </c>
      <c r="C42" s="36" t="s">
        <v>118</v>
      </c>
      <c r="D42" s="368"/>
      <c r="E42" s="100" t="s">
        <v>437</v>
      </c>
      <c r="F42" s="100">
        <v>1.5</v>
      </c>
      <c r="G42" s="383">
        <v>64</v>
      </c>
      <c r="H42" s="383">
        <v>24.67</v>
      </c>
      <c r="I42" s="100" t="s">
        <v>437</v>
      </c>
      <c r="J42" s="351">
        <v>1306</v>
      </c>
    </row>
    <row r="43" spans="1:10" ht="12" customHeight="1">
      <c r="A43" s="39" t="s">
        <v>113</v>
      </c>
      <c r="B43" s="35" t="s">
        <v>120</v>
      </c>
      <c r="C43" s="36" t="s">
        <v>121</v>
      </c>
      <c r="D43" s="368"/>
      <c r="E43" s="100" t="s">
        <v>437</v>
      </c>
      <c r="F43" s="100" t="s">
        <v>437</v>
      </c>
      <c r="G43" s="383">
        <v>72</v>
      </c>
      <c r="H43" s="383">
        <v>26.75</v>
      </c>
      <c r="I43" s="100" t="s">
        <v>437</v>
      </c>
      <c r="J43" s="351" t="s">
        <v>437</v>
      </c>
    </row>
    <row r="44" spans="1:10" ht="12" customHeight="1">
      <c r="A44" s="39" t="s">
        <v>116</v>
      </c>
      <c r="B44" s="35" t="s">
        <v>126</v>
      </c>
      <c r="C44" s="36" t="s">
        <v>127</v>
      </c>
      <c r="D44" s="368"/>
      <c r="E44" s="100" t="s">
        <v>437</v>
      </c>
      <c r="F44" s="100" t="s">
        <v>437</v>
      </c>
      <c r="G44" s="383">
        <v>72</v>
      </c>
      <c r="H44" s="383">
        <v>25.92</v>
      </c>
      <c r="I44" s="100" t="s">
        <v>437</v>
      </c>
      <c r="J44" s="351" t="s">
        <v>437</v>
      </c>
    </row>
    <row r="45" spans="1:10" ht="12" customHeight="1">
      <c r="A45" s="39" t="s">
        <v>119</v>
      </c>
      <c r="B45" s="35" t="s">
        <v>462</v>
      </c>
      <c r="C45" s="36" t="s">
        <v>124</v>
      </c>
      <c r="D45" s="368"/>
      <c r="E45" s="100" t="s">
        <v>437</v>
      </c>
      <c r="F45" s="100">
        <v>37.5</v>
      </c>
      <c r="G45" s="383">
        <v>32</v>
      </c>
      <c r="H45" s="383"/>
      <c r="I45" s="100" t="s">
        <v>437</v>
      </c>
      <c r="J45" s="351" t="s">
        <v>437</v>
      </c>
    </row>
    <row r="46" spans="1:10" ht="12" customHeight="1">
      <c r="A46" s="39" t="s">
        <v>122</v>
      </c>
      <c r="B46" s="35" t="s">
        <v>486</v>
      </c>
      <c r="C46" s="36" t="s">
        <v>149</v>
      </c>
      <c r="D46" s="368"/>
      <c r="E46" s="100" t="s">
        <v>437</v>
      </c>
      <c r="F46" s="100">
        <v>45</v>
      </c>
      <c r="G46" s="383">
        <v>32</v>
      </c>
      <c r="H46" s="383">
        <v>13.08</v>
      </c>
      <c r="I46" s="100" t="s">
        <v>437</v>
      </c>
      <c r="J46" s="351">
        <v>857</v>
      </c>
    </row>
    <row r="47" spans="1:10" ht="12" customHeight="1">
      <c r="A47" s="39" t="s">
        <v>125</v>
      </c>
      <c r="B47" s="35" t="s">
        <v>132</v>
      </c>
      <c r="C47" s="36" t="s">
        <v>133</v>
      </c>
      <c r="D47" s="368"/>
      <c r="E47" s="100" t="s">
        <v>437</v>
      </c>
      <c r="F47" s="100" t="s">
        <v>437</v>
      </c>
      <c r="G47" s="383">
        <v>32</v>
      </c>
      <c r="H47" s="383">
        <v>11</v>
      </c>
      <c r="I47" s="100" t="s">
        <v>437</v>
      </c>
      <c r="J47" s="351">
        <v>554</v>
      </c>
    </row>
    <row r="48" spans="1:10" ht="12" customHeight="1">
      <c r="A48" s="39" t="s">
        <v>128</v>
      </c>
      <c r="B48" s="35" t="s">
        <v>135</v>
      </c>
      <c r="C48" s="36" t="s">
        <v>136</v>
      </c>
      <c r="D48" s="368" t="s">
        <v>437</v>
      </c>
      <c r="E48" s="39">
        <v>9</v>
      </c>
      <c r="F48" s="100" t="s">
        <v>437</v>
      </c>
      <c r="G48" s="383">
        <v>72</v>
      </c>
      <c r="H48" s="383">
        <v>10.08</v>
      </c>
      <c r="I48" s="100" t="s">
        <v>437</v>
      </c>
      <c r="J48" s="351" t="s">
        <v>437</v>
      </c>
    </row>
    <row r="49" spans="1:10" ht="12" customHeight="1">
      <c r="A49" s="39" t="s">
        <v>131</v>
      </c>
      <c r="B49" s="35" t="s">
        <v>216</v>
      </c>
      <c r="C49" s="36" t="s">
        <v>217</v>
      </c>
      <c r="D49" s="368"/>
      <c r="E49" s="100" t="s">
        <v>437</v>
      </c>
      <c r="F49" s="100" t="s">
        <v>437</v>
      </c>
      <c r="G49" s="383">
        <v>128</v>
      </c>
      <c r="H49" s="383">
        <v>49.33</v>
      </c>
      <c r="I49" s="100" t="s">
        <v>437</v>
      </c>
      <c r="J49" s="351" t="s">
        <v>437</v>
      </c>
    </row>
    <row r="50" spans="1:10" ht="12" customHeight="1">
      <c r="A50" s="39" t="s">
        <v>134</v>
      </c>
      <c r="B50" s="35" t="s">
        <v>138</v>
      </c>
      <c r="C50" s="36" t="s">
        <v>139</v>
      </c>
      <c r="D50" s="368"/>
      <c r="E50" s="100" t="s">
        <v>437</v>
      </c>
      <c r="F50" s="100" t="s">
        <v>437</v>
      </c>
      <c r="G50" s="383">
        <v>72</v>
      </c>
      <c r="H50" s="383">
        <v>29.08</v>
      </c>
      <c r="I50" s="100" t="s">
        <v>437</v>
      </c>
      <c r="J50" s="351">
        <v>250</v>
      </c>
    </row>
    <row r="51" spans="1:10" ht="12" customHeight="1">
      <c r="A51" s="39" t="s">
        <v>137</v>
      </c>
      <c r="B51" s="273" t="s">
        <v>431</v>
      </c>
      <c r="C51" s="274" t="s">
        <v>440</v>
      </c>
      <c r="D51" s="368" t="s">
        <v>437</v>
      </c>
      <c r="E51" s="272" t="s">
        <v>437</v>
      </c>
      <c r="F51" s="272" t="s">
        <v>437</v>
      </c>
      <c r="G51" s="383">
        <v>40</v>
      </c>
      <c r="H51" s="383">
        <v>8.25</v>
      </c>
      <c r="I51" s="272" t="s">
        <v>437</v>
      </c>
      <c r="J51" s="352">
        <v>560</v>
      </c>
    </row>
    <row r="52" spans="1:10" ht="12" customHeight="1">
      <c r="A52" s="39" t="s">
        <v>140</v>
      </c>
      <c r="B52" s="35" t="s">
        <v>145</v>
      </c>
      <c r="C52" s="36" t="s">
        <v>146</v>
      </c>
      <c r="D52" s="368" t="s">
        <v>437</v>
      </c>
      <c r="E52" s="39">
        <v>9</v>
      </c>
      <c r="F52" s="100"/>
      <c r="G52" s="383">
        <v>56</v>
      </c>
      <c r="H52" s="383">
        <v>16.42</v>
      </c>
      <c r="I52" s="100" t="s">
        <v>437</v>
      </c>
      <c r="J52" s="351" t="s">
        <v>437</v>
      </c>
    </row>
    <row r="53" spans="1:10" ht="12" customHeight="1">
      <c r="A53" s="39" t="s">
        <v>143</v>
      </c>
      <c r="B53" s="35" t="s">
        <v>240</v>
      </c>
      <c r="C53" s="36" t="s">
        <v>241</v>
      </c>
      <c r="D53" s="368"/>
      <c r="E53" s="100" t="s">
        <v>437</v>
      </c>
      <c r="F53" s="100" t="s">
        <v>437</v>
      </c>
      <c r="G53" s="383">
        <v>72</v>
      </c>
      <c r="H53" s="383">
        <v>28.42</v>
      </c>
      <c r="I53" s="100" t="s">
        <v>437</v>
      </c>
      <c r="J53" s="351">
        <v>750</v>
      </c>
    </row>
    <row r="54" spans="1:10" ht="12" customHeight="1">
      <c r="A54" s="39" t="s">
        <v>144</v>
      </c>
      <c r="B54" s="35" t="s">
        <v>485</v>
      </c>
      <c r="C54" s="36" t="s">
        <v>130</v>
      </c>
      <c r="D54" s="368" t="s">
        <v>437</v>
      </c>
      <c r="E54" s="100">
        <v>11.25</v>
      </c>
      <c r="F54" s="100" t="s">
        <v>437</v>
      </c>
      <c r="G54" s="383">
        <v>32</v>
      </c>
      <c r="H54" s="383"/>
      <c r="I54" s="100" t="s">
        <v>437</v>
      </c>
      <c r="J54" s="351">
        <v>250</v>
      </c>
    </row>
    <row r="55" spans="1:10" ht="12" customHeight="1">
      <c r="A55" s="39" t="s">
        <v>147</v>
      </c>
      <c r="B55" s="35" t="s">
        <v>250</v>
      </c>
      <c r="C55" s="36" t="s">
        <v>46</v>
      </c>
      <c r="D55" s="368" t="s">
        <v>437</v>
      </c>
      <c r="E55" s="100" t="s">
        <v>437</v>
      </c>
      <c r="F55" s="100" t="s">
        <v>437</v>
      </c>
      <c r="G55" s="383">
        <v>56</v>
      </c>
      <c r="H55" s="383">
        <v>10.5</v>
      </c>
      <c r="I55" s="100" t="s">
        <v>437</v>
      </c>
      <c r="J55" s="351">
        <v>600</v>
      </c>
    </row>
    <row r="56" spans="1:10" ht="12" customHeight="1">
      <c r="A56" s="39" t="s">
        <v>150</v>
      </c>
      <c r="B56" s="35" t="s">
        <v>81</v>
      </c>
      <c r="C56" s="36" t="s">
        <v>82</v>
      </c>
      <c r="D56" s="368" t="s">
        <v>437</v>
      </c>
      <c r="E56" s="100" t="s">
        <v>437</v>
      </c>
      <c r="F56" s="100">
        <v>4.5</v>
      </c>
      <c r="G56" s="383">
        <v>72</v>
      </c>
      <c r="H56" s="383"/>
      <c r="I56" s="100" t="s">
        <v>437</v>
      </c>
      <c r="J56" s="351" t="s">
        <v>437</v>
      </c>
    </row>
    <row r="57" spans="1:10" ht="12" customHeight="1">
      <c r="A57" s="39" t="s">
        <v>153</v>
      </c>
      <c r="B57" s="35" t="s">
        <v>451</v>
      </c>
      <c r="C57" s="36" t="s">
        <v>52</v>
      </c>
      <c r="D57" s="368" t="s">
        <v>437</v>
      </c>
      <c r="E57" s="100" t="s">
        <v>437</v>
      </c>
      <c r="F57" s="100" t="s">
        <v>437</v>
      </c>
      <c r="G57" s="383" t="s">
        <v>437</v>
      </c>
      <c r="H57" s="383"/>
      <c r="I57" s="100"/>
      <c r="J57" s="351" t="s">
        <v>437</v>
      </c>
    </row>
    <row r="58" spans="1:10" ht="12" customHeight="1">
      <c r="A58" s="39" t="s">
        <v>156</v>
      </c>
      <c r="B58" s="273" t="s">
        <v>488</v>
      </c>
      <c r="C58" s="274" t="s">
        <v>211</v>
      </c>
      <c r="D58" s="368"/>
      <c r="E58" s="272" t="s">
        <v>437</v>
      </c>
      <c r="F58" s="272" t="s">
        <v>437</v>
      </c>
      <c r="G58" s="383">
        <v>40</v>
      </c>
      <c r="H58" s="383"/>
      <c r="I58" s="272" t="s">
        <v>437</v>
      </c>
      <c r="J58" s="352" t="s">
        <v>437</v>
      </c>
    </row>
    <row r="59" spans="1:10" ht="12" customHeight="1">
      <c r="A59" s="39" t="s">
        <v>157</v>
      </c>
      <c r="B59" s="273" t="s">
        <v>452</v>
      </c>
      <c r="C59" s="274" t="s">
        <v>281</v>
      </c>
      <c r="D59" s="372" t="s">
        <v>437</v>
      </c>
      <c r="E59" s="118" t="s">
        <v>437</v>
      </c>
      <c r="F59" s="118" t="s">
        <v>437</v>
      </c>
      <c r="G59" s="383" t="s">
        <v>437</v>
      </c>
      <c r="H59" s="383"/>
      <c r="I59" s="118" t="s">
        <v>437</v>
      </c>
      <c r="J59" s="352" t="s">
        <v>437</v>
      </c>
    </row>
    <row r="60" spans="1:10" ht="12" customHeight="1">
      <c r="A60" s="39" t="s">
        <v>160</v>
      </c>
      <c r="B60" s="35" t="s">
        <v>154</v>
      </c>
      <c r="C60" s="36" t="s">
        <v>155</v>
      </c>
      <c r="D60" s="368"/>
      <c r="E60" s="100" t="s">
        <v>437</v>
      </c>
      <c r="F60" s="100" t="s">
        <v>437</v>
      </c>
      <c r="G60" s="383">
        <v>72</v>
      </c>
      <c r="H60" s="383">
        <v>28.42</v>
      </c>
      <c r="I60" s="100" t="s">
        <v>437</v>
      </c>
      <c r="J60" s="351">
        <v>857</v>
      </c>
    </row>
    <row r="61" spans="1:10" ht="12" customHeight="1">
      <c r="A61" s="39" t="s">
        <v>161</v>
      </c>
      <c r="B61" s="35" t="s">
        <v>483</v>
      </c>
      <c r="C61" s="36" t="s">
        <v>163</v>
      </c>
      <c r="D61" s="368" t="s">
        <v>437</v>
      </c>
      <c r="E61" s="39">
        <v>6</v>
      </c>
      <c r="F61" s="100"/>
      <c r="G61" s="383">
        <v>16</v>
      </c>
      <c r="H61" s="383"/>
      <c r="I61" s="100" t="s">
        <v>437</v>
      </c>
      <c r="J61" s="351">
        <v>250</v>
      </c>
    </row>
    <row r="62" spans="1:10" ht="12" customHeight="1">
      <c r="A62" s="39" t="s">
        <v>164</v>
      </c>
      <c r="B62" s="35" t="s">
        <v>232</v>
      </c>
      <c r="C62" s="36" t="s">
        <v>233</v>
      </c>
      <c r="D62" s="368" t="s">
        <v>437</v>
      </c>
      <c r="E62" s="100" t="s">
        <v>437</v>
      </c>
      <c r="F62" s="100" t="s">
        <v>437</v>
      </c>
      <c r="G62" s="383">
        <v>16</v>
      </c>
      <c r="H62" s="383"/>
      <c r="I62" s="100" t="s">
        <v>437</v>
      </c>
      <c r="J62" s="351">
        <v>250</v>
      </c>
    </row>
    <row r="63" spans="1:10" ht="12" customHeight="1">
      <c r="A63" s="39" t="s">
        <v>167</v>
      </c>
      <c r="B63" s="35" t="s">
        <v>165</v>
      </c>
      <c r="C63" s="36" t="s">
        <v>166</v>
      </c>
      <c r="D63" s="368" t="s">
        <v>437</v>
      </c>
      <c r="E63" s="100" t="s">
        <v>437</v>
      </c>
      <c r="F63" s="100" t="s">
        <v>437</v>
      </c>
      <c r="G63" s="383">
        <v>32</v>
      </c>
      <c r="H63" s="383"/>
      <c r="I63" s="100" t="s">
        <v>437</v>
      </c>
      <c r="J63" s="351" t="s">
        <v>437</v>
      </c>
    </row>
    <row r="64" spans="1:10" ht="12" customHeight="1">
      <c r="A64" s="39" t="s">
        <v>170</v>
      </c>
      <c r="B64" s="35" t="s">
        <v>168</v>
      </c>
      <c r="C64" s="36" t="s">
        <v>169</v>
      </c>
      <c r="D64" s="368" t="s">
        <v>437</v>
      </c>
      <c r="E64" s="100" t="s">
        <v>437</v>
      </c>
      <c r="F64" s="100" t="s">
        <v>437</v>
      </c>
      <c r="G64" s="383">
        <v>32</v>
      </c>
      <c r="H64" s="383"/>
      <c r="I64" s="100" t="s">
        <v>437</v>
      </c>
      <c r="J64" s="351">
        <v>602</v>
      </c>
    </row>
    <row r="65" spans="1:10" ht="12" customHeight="1">
      <c r="A65" s="39" t="s">
        <v>173</v>
      </c>
      <c r="B65" s="35" t="s">
        <v>424</v>
      </c>
      <c r="C65" s="36" t="s">
        <v>172</v>
      </c>
      <c r="D65" s="368" t="s">
        <v>437</v>
      </c>
      <c r="E65" s="39">
        <v>9</v>
      </c>
      <c r="F65" s="100" t="s">
        <v>437</v>
      </c>
      <c r="G65" s="383">
        <v>80</v>
      </c>
      <c r="H65" s="383">
        <v>28</v>
      </c>
      <c r="I65" s="100" t="s">
        <v>437</v>
      </c>
      <c r="J65" s="351" t="s">
        <v>437</v>
      </c>
    </row>
    <row r="66" spans="1:10" ht="12" customHeight="1">
      <c r="A66" s="39" t="s">
        <v>176</v>
      </c>
      <c r="B66" s="35" t="s">
        <v>230</v>
      </c>
      <c r="C66" s="36" t="s">
        <v>231</v>
      </c>
      <c r="D66" s="368" t="s">
        <v>437</v>
      </c>
      <c r="E66" s="100" t="s">
        <v>437</v>
      </c>
      <c r="F66" s="100" t="s">
        <v>437</v>
      </c>
      <c r="G66" s="383" t="s">
        <v>437</v>
      </c>
      <c r="H66" s="383" t="s">
        <v>437</v>
      </c>
      <c r="I66" s="100" t="s">
        <v>437</v>
      </c>
      <c r="J66" s="351" t="s">
        <v>437</v>
      </c>
    </row>
    <row r="67" spans="1:10" ht="12" customHeight="1">
      <c r="A67" s="39" t="s">
        <v>179</v>
      </c>
      <c r="B67" s="35" t="s">
        <v>423</v>
      </c>
      <c r="C67" s="36" t="s">
        <v>432</v>
      </c>
      <c r="D67" s="368" t="s">
        <v>437</v>
      </c>
      <c r="E67" s="100" t="s">
        <v>437</v>
      </c>
      <c r="F67" s="100" t="s">
        <v>437</v>
      </c>
      <c r="G67" s="383" t="s">
        <v>437</v>
      </c>
      <c r="H67" s="383" t="s">
        <v>437</v>
      </c>
      <c r="I67" s="100">
        <v>185.96</v>
      </c>
      <c r="J67" s="351">
        <v>560</v>
      </c>
    </row>
    <row r="68" spans="1:10" ht="12" customHeight="1">
      <c r="A68" s="39" t="s">
        <v>182</v>
      </c>
      <c r="B68" s="35" t="s">
        <v>471</v>
      </c>
      <c r="C68" s="36" t="s">
        <v>181</v>
      </c>
      <c r="D68" s="368" t="s">
        <v>437</v>
      </c>
      <c r="E68" s="100" t="s">
        <v>437</v>
      </c>
      <c r="F68" s="100">
        <v>3</v>
      </c>
      <c r="G68" s="383">
        <v>64</v>
      </c>
      <c r="H68" s="383"/>
      <c r="I68" s="100" t="s">
        <v>437</v>
      </c>
      <c r="J68" s="351">
        <v>250</v>
      </c>
    </row>
    <row r="69" spans="1:10" ht="12" customHeight="1">
      <c r="A69" s="39" t="s">
        <v>185</v>
      </c>
      <c r="B69" s="35" t="s">
        <v>409</v>
      </c>
      <c r="C69" s="36" t="s">
        <v>208</v>
      </c>
      <c r="D69" s="368" t="s">
        <v>437</v>
      </c>
      <c r="E69" s="100" t="s">
        <v>437</v>
      </c>
      <c r="F69" s="100" t="s">
        <v>437</v>
      </c>
      <c r="G69" s="383">
        <v>64</v>
      </c>
      <c r="H69" s="383"/>
      <c r="I69" s="100" t="s">
        <v>437</v>
      </c>
      <c r="J69" s="351">
        <v>250</v>
      </c>
    </row>
    <row r="70" spans="1:10" ht="12" customHeight="1">
      <c r="A70" s="39" t="s">
        <v>188</v>
      </c>
      <c r="B70" s="35" t="s">
        <v>466</v>
      </c>
      <c r="C70" s="36" t="s">
        <v>184</v>
      </c>
      <c r="D70" s="368" t="s">
        <v>437</v>
      </c>
      <c r="E70" s="100" t="s">
        <v>437</v>
      </c>
      <c r="F70" s="100" t="s">
        <v>437</v>
      </c>
      <c r="G70" s="383" t="s">
        <v>437</v>
      </c>
      <c r="H70" s="383"/>
      <c r="I70" s="100"/>
      <c r="J70" s="351" t="s">
        <v>437</v>
      </c>
    </row>
    <row r="71" spans="1:10" ht="12" customHeight="1">
      <c r="A71" s="39" t="s">
        <v>191</v>
      </c>
      <c r="B71" s="35" t="s">
        <v>472</v>
      </c>
      <c r="C71" s="36" t="s">
        <v>187</v>
      </c>
      <c r="D71" s="368" t="s">
        <v>437</v>
      </c>
      <c r="E71" s="100" t="s">
        <v>437</v>
      </c>
      <c r="F71" s="100" t="s">
        <v>437</v>
      </c>
      <c r="G71" s="383" t="s">
        <v>437</v>
      </c>
      <c r="H71" s="383"/>
      <c r="I71" s="100" t="s">
        <v>437</v>
      </c>
      <c r="J71" s="351" t="s">
        <v>437</v>
      </c>
    </row>
    <row r="72" spans="1:10" ht="12" customHeight="1">
      <c r="A72" s="39" t="s">
        <v>194</v>
      </c>
      <c r="B72" s="35" t="s">
        <v>189</v>
      </c>
      <c r="C72" s="36" t="s">
        <v>190</v>
      </c>
      <c r="D72" s="368" t="s">
        <v>437</v>
      </c>
      <c r="E72" s="100" t="s">
        <v>437</v>
      </c>
      <c r="F72" s="100" t="s">
        <v>437</v>
      </c>
      <c r="G72" s="383">
        <v>64</v>
      </c>
      <c r="H72" s="383"/>
      <c r="I72" s="100" t="s">
        <v>437</v>
      </c>
      <c r="J72" s="351" t="s">
        <v>437</v>
      </c>
    </row>
    <row r="73" spans="1:10" ht="12" customHeight="1">
      <c r="A73" s="39" t="s">
        <v>197</v>
      </c>
      <c r="B73" s="35" t="s">
        <v>192</v>
      </c>
      <c r="C73" s="36" t="s">
        <v>193</v>
      </c>
      <c r="D73" s="368" t="s">
        <v>437</v>
      </c>
      <c r="E73" s="100" t="s">
        <v>437</v>
      </c>
      <c r="F73" s="100" t="s">
        <v>437</v>
      </c>
      <c r="G73" s="383">
        <v>64</v>
      </c>
      <c r="H73" s="383"/>
      <c r="I73" s="100" t="s">
        <v>437</v>
      </c>
      <c r="J73" s="351" t="s">
        <v>437</v>
      </c>
    </row>
    <row r="74" spans="1:10" ht="12" customHeight="1">
      <c r="A74" s="39" t="s">
        <v>200</v>
      </c>
      <c r="B74" s="35" t="s">
        <v>195</v>
      </c>
      <c r="C74" s="36" t="s">
        <v>196</v>
      </c>
      <c r="D74" s="368" t="s">
        <v>437</v>
      </c>
      <c r="E74" s="100" t="s">
        <v>437</v>
      </c>
      <c r="F74" s="100" t="s">
        <v>437</v>
      </c>
      <c r="G74" s="383">
        <v>80</v>
      </c>
      <c r="H74" s="383"/>
      <c r="I74" s="100" t="s">
        <v>437</v>
      </c>
      <c r="J74" s="351">
        <v>350</v>
      </c>
    </row>
    <row r="75" spans="1:10" ht="12" customHeight="1">
      <c r="A75" s="39"/>
      <c r="B75" s="35"/>
      <c r="C75" s="36"/>
      <c r="D75" s="368"/>
      <c r="E75" s="100"/>
      <c r="F75" s="100"/>
      <c r="G75" s="383"/>
      <c r="H75" s="383"/>
      <c r="I75" s="100"/>
      <c r="J75" s="351"/>
    </row>
    <row r="76" spans="1:10" ht="30" customHeight="1">
      <c r="A76" s="290" t="s">
        <v>292</v>
      </c>
      <c r="B76" s="290" t="s">
        <v>17</v>
      </c>
      <c r="C76" s="290" t="s">
        <v>254</v>
      </c>
      <c r="D76" s="367" t="s">
        <v>474</v>
      </c>
      <c r="E76" s="294" t="s">
        <v>397</v>
      </c>
      <c r="F76" s="290" t="s">
        <v>398</v>
      </c>
      <c r="G76" s="382" t="s">
        <v>475</v>
      </c>
      <c r="H76" s="382" t="s">
        <v>478</v>
      </c>
      <c r="I76" s="290" t="s">
        <v>25</v>
      </c>
      <c r="J76" s="357" t="s">
        <v>408</v>
      </c>
    </row>
    <row r="77" spans="1:10" ht="12" customHeight="1">
      <c r="A77" s="39" t="s">
        <v>203</v>
      </c>
      <c r="B77" s="35" t="s">
        <v>467</v>
      </c>
      <c r="C77" s="36" t="s">
        <v>237</v>
      </c>
      <c r="D77" s="368" t="s">
        <v>437</v>
      </c>
      <c r="E77" s="100" t="s">
        <v>437</v>
      </c>
      <c r="F77" s="100" t="s">
        <v>437</v>
      </c>
      <c r="G77" s="383" t="s">
        <v>437</v>
      </c>
      <c r="H77" s="383" t="s">
        <v>437</v>
      </c>
      <c r="I77" s="100"/>
      <c r="J77" s="351" t="s">
        <v>437</v>
      </c>
    </row>
    <row r="78" spans="1:10" ht="12" customHeight="1">
      <c r="A78" s="39" t="s">
        <v>206</v>
      </c>
      <c r="B78" s="35" t="s">
        <v>198</v>
      </c>
      <c r="C78" s="36" t="s">
        <v>199</v>
      </c>
      <c r="D78" s="368" t="s">
        <v>437</v>
      </c>
      <c r="E78" s="100" t="s">
        <v>437</v>
      </c>
      <c r="F78" s="100" t="s">
        <v>437</v>
      </c>
      <c r="G78" s="383" t="s">
        <v>437</v>
      </c>
      <c r="H78" s="383" t="s">
        <v>437</v>
      </c>
      <c r="I78" s="100" t="s">
        <v>437</v>
      </c>
      <c r="J78" s="351">
        <v>250</v>
      </c>
    </row>
    <row r="79" spans="1:10" ht="12" customHeight="1">
      <c r="A79" s="39" t="s">
        <v>209</v>
      </c>
      <c r="B79" s="35" t="s">
        <v>468</v>
      </c>
      <c r="C79" s="36" t="s">
        <v>202</v>
      </c>
      <c r="D79" s="368" t="s">
        <v>437</v>
      </c>
      <c r="E79" s="100" t="s">
        <v>437</v>
      </c>
      <c r="F79" s="100" t="s">
        <v>437</v>
      </c>
      <c r="G79" s="383" t="s">
        <v>437</v>
      </c>
      <c r="H79" s="383" t="s">
        <v>437</v>
      </c>
      <c r="I79" s="100"/>
      <c r="J79" s="351" t="s">
        <v>437</v>
      </c>
    </row>
    <row r="80" spans="1:10" ht="12" customHeight="1">
      <c r="A80" s="39" t="s">
        <v>212</v>
      </c>
      <c r="B80" s="35" t="s">
        <v>477</v>
      </c>
      <c r="C80" s="36" t="s">
        <v>243</v>
      </c>
      <c r="D80" s="368" t="s">
        <v>437</v>
      </c>
      <c r="E80" s="100" t="s">
        <v>437</v>
      </c>
      <c r="F80" s="100" t="s">
        <v>437</v>
      </c>
      <c r="G80" s="383" t="s">
        <v>482</v>
      </c>
      <c r="H80" s="383" t="s">
        <v>482</v>
      </c>
      <c r="I80" s="100" t="s">
        <v>437</v>
      </c>
      <c r="J80" s="351">
        <v>650</v>
      </c>
    </row>
    <row r="81" spans="1:10" ht="12" customHeight="1">
      <c r="A81" s="39" t="s">
        <v>215</v>
      </c>
      <c r="B81" s="35" t="s">
        <v>204</v>
      </c>
      <c r="C81" s="36" t="s">
        <v>205</v>
      </c>
      <c r="D81" s="368" t="s">
        <v>437</v>
      </c>
      <c r="E81" s="100" t="s">
        <v>437</v>
      </c>
      <c r="F81" s="100" t="s">
        <v>437</v>
      </c>
      <c r="G81" s="383" t="s">
        <v>482</v>
      </c>
      <c r="H81" s="383" t="s">
        <v>482</v>
      </c>
      <c r="I81" s="100"/>
      <c r="J81" s="351">
        <v>650</v>
      </c>
    </row>
    <row r="82" spans="1:10" ht="12" customHeight="1">
      <c r="A82" s="39" t="s">
        <v>218</v>
      </c>
      <c r="B82" s="35" t="s">
        <v>411</v>
      </c>
      <c r="C82" s="118">
        <v>209</v>
      </c>
      <c r="D82" s="372"/>
      <c r="E82" s="118" t="s">
        <v>437</v>
      </c>
      <c r="F82" s="118" t="s">
        <v>437</v>
      </c>
      <c r="G82" s="383">
        <v>72</v>
      </c>
      <c r="H82" s="383">
        <v>10.5</v>
      </c>
      <c r="I82" s="386" t="s">
        <v>437</v>
      </c>
      <c r="J82" s="351">
        <v>350</v>
      </c>
    </row>
    <row r="83" spans="1:10" ht="12" customHeight="1">
      <c r="A83" s="39" t="s">
        <v>219</v>
      </c>
      <c r="B83" s="273" t="s">
        <v>489</v>
      </c>
      <c r="C83" s="274" t="s">
        <v>60</v>
      </c>
      <c r="D83" s="368" t="s">
        <v>437</v>
      </c>
      <c r="E83" s="272" t="s">
        <v>437</v>
      </c>
      <c r="F83" s="272" t="s">
        <v>437</v>
      </c>
      <c r="G83" s="383">
        <v>32</v>
      </c>
      <c r="H83" s="383"/>
      <c r="I83" s="272" t="s">
        <v>455</v>
      </c>
      <c r="J83" s="352" t="s">
        <v>437</v>
      </c>
    </row>
    <row r="84" spans="1:10" ht="12" customHeight="1">
      <c r="A84" s="39" t="s">
        <v>220</v>
      </c>
      <c r="B84" s="273" t="s">
        <v>470</v>
      </c>
      <c r="C84" s="274" t="s">
        <v>434</v>
      </c>
      <c r="D84" s="368" t="s">
        <v>437</v>
      </c>
      <c r="E84" s="272" t="s">
        <v>437</v>
      </c>
      <c r="F84" s="272">
        <v>3</v>
      </c>
      <c r="G84" s="383" t="s">
        <v>482</v>
      </c>
      <c r="H84" s="383" t="s">
        <v>482</v>
      </c>
      <c r="I84" s="272"/>
      <c r="J84" s="352" t="s">
        <v>437</v>
      </c>
    </row>
    <row r="85" spans="1:10" ht="12" customHeight="1">
      <c r="A85" s="39" t="s">
        <v>223</v>
      </c>
      <c r="B85" s="35" t="s">
        <v>435</v>
      </c>
      <c r="C85" s="118">
        <v>221</v>
      </c>
      <c r="D85" s="368" t="s">
        <v>437</v>
      </c>
      <c r="E85" s="118" t="s">
        <v>437</v>
      </c>
      <c r="F85" s="118" t="s">
        <v>437</v>
      </c>
      <c r="G85" s="383" t="s">
        <v>437</v>
      </c>
      <c r="H85" s="383" t="s">
        <v>437</v>
      </c>
      <c r="I85" s="118">
        <v>361.03</v>
      </c>
      <c r="J85" s="351">
        <v>554</v>
      </c>
    </row>
    <row r="86" spans="1:10" ht="12" customHeight="1">
      <c r="A86" s="39" t="s">
        <v>226</v>
      </c>
      <c r="B86" s="35" t="s">
        <v>436</v>
      </c>
      <c r="C86" s="118">
        <v>222</v>
      </c>
      <c r="D86" s="368" t="s">
        <v>437</v>
      </c>
      <c r="E86" s="118" t="s">
        <v>437</v>
      </c>
      <c r="F86" s="118" t="s">
        <v>437</v>
      </c>
      <c r="G86" s="383">
        <v>56</v>
      </c>
      <c r="H86" s="383">
        <v>10.67</v>
      </c>
      <c r="I86" s="118" t="s">
        <v>437</v>
      </c>
      <c r="J86" s="351">
        <v>487.5</v>
      </c>
    </row>
    <row r="87" spans="1:10" ht="12" customHeight="1">
      <c r="A87" s="39" t="s">
        <v>229</v>
      </c>
      <c r="B87" s="35" t="s">
        <v>438</v>
      </c>
      <c r="C87" s="118">
        <v>223</v>
      </c>
      <c r="D87" s="368"/>
      <c r="E87" s="100" t="s">
        <v>437</v>
      </c>
      <c r="F87" s="272" t="s">
        <v>437</v>
      </c>
      <c r="G87" s="383">
        <v>64</v>
      </c>
      <c r="H87" s="383">
        <v>20.5</v>
      </c>
      <c r="I87" s="272" t="s">
        <v>437</v>
      </c>
      <c r="J87" s="351">
        <v>824</v>
      </c>
    </row>
    <row r="88" spans="1:10" ht="12" customHeight="1">
      <c r="A88" s="39" t="s">
        <v>297</v>
      </c>
      <c r="B88" s="35" t="s">
        <v>473</v>
      </c>
      <c r="C88" s="118">
        <v>225</v>
      </c>
      <c r="D88" s="372" t="s">
        <v>437</v>
      </c>
      <c r="E88" s="118" t="s">
        <v>437</v>
      </c>
      <c r="F88" s="118" t="s">
        <v>437</v>
      </c>
      <c r="G88" s="383" t="s">
        <v>437</v>
      </c>
      <c r="H88" s="383"/>
      <c r="I88" s="118"/>
      <c r="J88" s="351"/>
    </row>
    <row r="89" spans="1:10" ht="12" customHeight="1">
      <c r="A89" s="39" t="s">
        <v>300</v>
      </c>
      <c r="B89" s="35" t="s">
        <v>453</v>
      </c>
      <c r="C89" s="118">
        <v>172</v>
      </c>
      <c r="D89" s="372" t="s">
        <v>437</v>
      </c>
      <c r="E89" s="118" t="s">
        <v>437</v>
      </c>
      <c r="F89" s="118" t="s">
        <v>437</v>
      </c>
      <c r="G89" s="383">
        <v>30</v>
      </c>
      <c r="H89" s="383"/>
      <c r="I89" s="118" t="s">
        <v>437</v>
      </c>
      <c r="J89" s="351">
        <v>400</v>
      </c>
    </row>
    <row r="90" spans="1:10" ht="12" customHeight="1">
      <c r="A90" s="39" t="s">
        <v>393</v>
      </c>
      <c r="B90" s="35" t="s">
        <v>480</v>
      </c>
      <c r="C90" s="118">
        <v>217</v>
      </c>
      <c r="D90" s="390" t="s">
        <v>437</v>
      </c>
      <c r="E90" s="387" t="s">
        <v>437</v>
      </c>
      <c r="F90" s="387" t="s">
        <v>437</v>
      </c>
      <c r="G90" s="39">
        <v>24</v>
      </c>
      <c r="H90" s="388"/>
      <c r="I90" s="387" t="s">
        <v>455</v>
      </c>
      <c r="J90" s="390" t="s">
        <v>437</v>
      </c>
    </row>
    <row r="91" spans="1:10" s="28" customFormat="1" ht="12" customHeight="1">
      <c r="A91" s="39" t="s">
        <v>419</v>
      </c>
      <c r="B91" s="35" t="s">
        <v>481</v>
      </c>
      <c r="C91" s="118">
        <v>233</v>
      </c>
      <c r="D91" s="35"/>
      <c r="E91" s="118" t="s">
        <v>437</v>
      </c>
      <c r="F91" s="118" t="s">
        <v>437</v>
      </c>
      <c r="G91" s="118" t="s">
        <v>437</v>
      </c>
      <c r="H91" s="118" t="s">
        <v>437</v>
      </c>
      <c r="I91" s="118" t="s">
        <v>437</v>
      </c>
      <c r="J91" s="351">
        <v>800</v>
      </c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sheetProtection/>
  <mergeCells count="2">
    <mergeCell ref="A1:B1"/>
    <mergeCell ref="C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E1" sqref="E1:L1"/>
    </sheetView>
  </sheetViews>
  <sheetFormatPr defaultColWidth="9.140625" defaultRowHeight="15"/>
  <cols>
    <col min="1" max="1" width="3.421875" style="0" bestFit="1" customWidth="1"/>
    <col min="2" max="2" width="31.421875" style="0" customWidth="1"/>
    <col min="3" max="3" width="4.421875" style="110" bestFit="1" customWidth="1"/>
    <col min="4" max="6" width="5.7109375" style="0" customWidth="1"/>
    <col min="7" max="8" width="10.421875" style="0" customWidth="1"/>
    <col min="9" max="9" width="7.57421875" style="0" customWidth="1"/>
    <col min="10" max="10" width="10.8515625" style="0" customWidth="1"/>
    <col min="11" max="11" width="10.57421875" style="0" customWidth="1"/>
    <col min="12" max="12" width="9.7109375" style="396" customWidth="1"/>
    <col min="13" max="13" width="9.140625" style="397" customWidth="1"/>
  </cols>
  <sheetData>
    <row r="1" spans="1:12" ht="15">
      <c r="A1" s="427" t="s">
        <v>583</v>
      </c>
      <c r="B1" s="427"/>
      <c r="E1" s="428" t="s">
        <v>584</v>
      </c>
      <c r="F1" s="428"/>
      <c r="G1" s="428"/>
      <c r="H1" s="428"/>
      <c r="I1" s="428"/>
      <c r="J1" s="428"/>
      <c r="K1" s="428"/>
      <c r="L1" s="428"/>
    </row>
    <row r="3" spans="1:13" ht="63.75" customHeight="1">
      <c r="A3" s="290" t="s">
        <v>292</v>
      </c>
      <c r="B3" s="430" t="s">
        <v>17</v>
      </c>
      <c r="C3" s="431"/>
      <c r="D3" s="367" t="s">
        <v>519</v>
      </c>
      <c r="E3" s="367" t="s">
        <v>520</v>
      </c>
      <c r="F3" s="367" t="s">
        <v>521</v>
      </c>
      <c r="G3" s="367" t="s">
        <v>582</v>
      </c>
      <c r="H3" s="367" t="s">
        <v>522</v>
      </c>
      <c r="I3" s="375" t="s">
        <v>523</v>
      </c>
      <c r="J3" s="394" t="s">
        <v>573</v>
      </c>
      <c r="K3" s="395" t="s">
        <v>574</v>
      </c>
      <c r="L3" s="356" t="s">
        <v>525</v>
      </c>
      <c r="M3" s="398" t="s">
        <v>524</v>
      </c>
    </row>
    <row r="4" spans="1:13" ht="12" customHeight="1">
      <c r="A4" s="39" t="s">
        <v>1</v>
      </c>
      <c r="B4" s="273" t="s">
        <v>526</v>
      </c>
      <c r="C4" s="274"/>
      <c r="D4" s="401"/>
      <c r="E4" s="401"/>
      <c r="F4" s="401"/>
      <c r="G4" s="403"/>
      <c r="H4" s="403"/>
      <c r="I4" s="404"/>
      <c r="J4" s="380"/>
      <c r="K4" s="406"/>
      <c r="L4" s="352"/>
      <c r="M4" s="399"/>
    </row>
    <row r="5" spans="1:19" s="28" customFormat="1" ht="12" customHeight="1">
      <c r="A5" s="39" t="s">
        <v>2</v>
      </c>
      <c r="B5" s="35" t="s">
        <v>341</v>
      </c>
      <c r="C5" s="36"/>
      <c r="D5" s="401"/>
      <c r="E5" s="401"/>
      <c r="F5" s="401"/>
      <c r="G5" s="403"/>
      <c r="H5" s="403"/>
      <c r="I5" s="404"/>
      <c r="J5" s="376"/>
      <c r="K5" s="407"/>
      <c r="L5" s="410"/>
      <c r="M5" s="400"/>
      <c r="N5" s="105"/>
      <c r="O5" s="116"/>
      <c r="P5" s="358"/>
      <c r="Q5" s="238"/>
      <c r="R5" s="238"/>
      <c r="S5" s="238"/>
    </row>
    <row r="6" spans="1:13" ht="12" customHeight="1">
      <c r="A6" s="39" t="s">
        <v>3</v>
      </c>
      <c r="B6" s="35" t="s">
        <v>329</v>
      </c>
      <c r="C6" s="36"/>
      <c r="D6" s="401"/>
      <c r="E6" s="401"/>
      <c r="F6" s="401"/>
      <c r="G6" s="403"/>
      <c r="H6" s="403"/>
      <c r="I6" s="404"/>
      <c r="J6" s="376"/>
      <c r="K6" s="407"/>
      <c r="L6" s="351"/>
      <c r="M6" s="399"/>
    </row>
    <row r="7" spans="1:13" ht="12" customHeight="1">
      <c r="A7" s="39" t="s">
        <v>4</v>
      </c>
      <c r="B7" s="35" t="s">
        <v>495</v>
      </c>
      <c r="C7" s="36"/>
      <c r="D7" s="401"/>
      <c r="E7" s="401"/>
      <c r="F7" s="401"/>
      <c r="G7" s="403"/>
      <c r="H7" s="403"/>
      <c r="I7" s="404"/>
      <c r="J7" s="376"/>
      <c r="K7" s="407"/>
      <c r="L7" s="351"/>
      <c r="M7" s="399"/>
    </row>
    <row r="8" spans="1:13" ht="12" customHeight="1">
      <c r="A8" s="39" t="s">
        <v>5</v>
      </c>
      <c r="B8" s="35" t="s">
        <v>578</v>
      </c>
      <c r="C8" s="36"/>
      <c r="D8" s="401"/>
      <c r="E8" s="401"/>
      <c r="F8" s="401"/>
      <c r="G8" s="403"/>
      <c r="H8" s="403"/>
      <c r="I8" s="404"/>
      <c r="J8" s="376"/>
      <c r="K8" s="407"/>
      <c r="L8" s="351"/>
      <c r="M8" s="399"/>
    </row>
    <row r="9" spans="1:13" ht="12" customHeight="1">
      <c r="A9" s="39" t="s">
        <v>6</v>
      </c>
      <c r="B9" s="35" t="s">
        <v>513</v>
      </c>
      <c r="C9" s="387"/>
      <c r="D9" s="402"/>
      <c r="E9" s="402"/>
      <c r="F9" s="402"/>
      <c r="G9" s="405"/>
      <c r="H9" s="405"/>
      <c r="I9" s="402"/>
      <c r="J9" s="393"/>
      <c r="K9" s="408"/>
      <c r="L9" s="390"/>
      <c r="M9" s="399"/>
    </row>
    <row r="10" spans="1:13" ht="12" customHeight="1">
      <c r="A10" s="39" t="s">
        <v>7</v>
      </c>
      <c r="B10" s="35" t="s">
        <v>527</v>
      </c>
      <c r="C10" s="118"/>
      <c r="D10" s="401"/>
      <c r="E10" s="401"/>
      <c r="F10" s="401"/>
      <c r="G10" s="403"/>
      <c r="H10" s="403"/>
      <c r="I10" s="404"/>
      <c r="J10" s="380"/>
      <c r="K10" s="406"/>
      <c r="L10" s="410"/>
      <c r="M10" s="399"/>
    </row>
    <row r="11" spans="1:13" ht="12" customHeight="1">
      <c r="A11" s="39" t="s">
        <v>8</v>
      </c>
      <c r="B11" s="35" t="s">
        <v>500</v>
      </c>
      <c r="C11" s="36"/>
      <c r="D11" s="401"/>
      <c r="E11" s="401"/>
      <c r="F11" s="401"/>
      <c r="G11" s="403"/>
      <c r="H11" s="403"/>
      <c r="I11" s="404"/>
      <c r="J11" s="376"/>
      <c r="K11" s="407"/>
      <c r="L11" s="351"/>
      <c r="M11" s="399"/>
    </row>
    <row r="12" spans="1:13" ht="12" customHeight="1">
      <c r="A12" s="39" t="s">
        <v>9</v>
      </c>
      <c r="B12" s="35" t="s">
        <v>559</v>
      </c>
      <c r="C12" s="36"/>
      <c r="D12" s="401"/>
      <c r="E12" s="401"/>
      <c r="F12" s="401"/>
      <c r="G12" s="403"/>
      <c r="H12" s="403"/>
      <c r="I12" s="404"/>
      <c r="J12" s="376"/>
      <c r="K12" s="407"/>
      <c r="L12" s="351"/>
      <c r="M12" s="399"/>
    </row>
    <row r="13" spans="1:13" ht="12" customHeight="1">
      <c r="A13" s="39" t="s">
        <v>30</v>
      </c>
      <c r="B13" s="35" t="s">
        <v>311</v>
      </c>
      <c r="C13" s="36"/>
      <c r="D13" s="401"/>
      <c r="E13" s="401"/>
      <c r="F13" s="401"/>
      <c r="G13" s="403"/>
      <c r="H13" s="403"/>
      <c r="I13" s="404"/>
      <c r="J13" s="376"/>
      <c r="K13" s="407"/>
      <c r="L13" s="410"/>
      <c r="M13" s="399"/>
    </row>
    <row r="14" spans="1:13" ht="12" customHeight="1">
      <c r="A14" s="39" t="s">
        <v>10</v>
      </c>
      <c r="B14" s="273" t="s">
        <v>558</v>
      </c>
      <c r="C14" s="36"/>
      <c r="D14" s="401"/>
      <c r="E14" s="401"/>
      <c r="F14" s="401"/>
      <c r="G14" s="403"/>
      <c r="H14" s="403"/>
      <c r="I14" s="404"/>
      <c r="J14" s="376"/>
      <c r="K14" s="407"/>
      <c r="L14" s="351"/>
      <c r="M14" s="399"/>
    </row>
    <row r="15" spans="1:13" ht="12" customHeight="1">
      <c r="A15" s="39" t="s">
        <v>11</v>
      </c>
      <c r="B15" s="35" t="s">
        <v>350</v>
      </c>
      <c r="C15" s="36"/>
      <c r="D15" s="401"/>
      <c r="E15" s="401"/>
      <c r="F15" s="401"/>
      <c r="G15" s="403"/>
      <c r="H15" s="403"/>
      <c r="I15" s="404"/>
      <c r="J15" s="376"/>
      <c r="K15" s="407"/>
      <c r="L15" s="351"/>
      <c r="M15" s="399"/>
    </row>
    <row r="16" spans="1:13" ht="12" customHeight="1">
      <c r="A16" s="39" t="s">
        <v>12</v>
      </c>
      <c r="B16" s="35" t="s">
        <v>561</v>
      </c>
      <c r="C16" s="36"/>
      <c r="D16" s="401"/>
      <c r="E16" s="401"/>
      <c r="F16" s="401"/>
      <c r="G16" s="403"/>
      <c r="H16" s="403"/>
      <c r="I16" s="404"/>
      <c r="J16" s="376"/>
      <c r="K16" s="407"/>
      <c r="L16" s="351"/>
      <c r="M16" s="399"/>
    </row>
    <row r="17" spans="1:13" ht="12" customHeight="1">
      <c r="A17" s="39" t="s">
        <v>13</v>
      </c>
      <c r="B17" s="35" t="s">
        <v>511</v>
      </c>
      <c r="C17" s="36"/>
      <c r="D17" s="401"/>
      <c r="E17" s="401"/>
      <c r="F17" s="401"/>
      <c r="G17" s="403"/>
      <c r="H17" s="403"/>
      <c r="I17" s="404"/>
      <c r="J17" s="376"/>
      <c r="K17" s="407"/>
      <c r="L17" s="351"/>
      <c r="M17" s="399"/>
    </row>
    <row r="18" spans="1:13" ht="12" customHeight="1">
      <c r="A18" s="39" t="s">
        <v>14</v>
      </c>
      <c r="B18" s="35" t="s">
        <v>496</v>
      </c>
      <c r="C18" s="118"/>
      <c r="D18" s="401"/>
      <c r="E18" s="401"/>
      <c r="F18" s="401"/>
      <c r="G18" s="403"/>
      <c r="H18" s="403"/>
      <c r="I18" s="404"/>
      <c r="J18" s="380"/>
      <c r="K18" s="406"/>
      <c r="L18" s="410"/>
      <c r="M18" s="399"/>
    </row>
    <row r="19" spans="1:13" ht="12" customHeight="1">
      <c r="A19" s="39" t="s">
        <v>15</v>
      </c>
      <c r="B19" s="35" t="s">
        <v>362</v>
      </c>
      <c r="C19" s="36"/>
      <c r="D19" s="401"/>
      <c r="E19" s="401"/>
      <c r="F19" s="401"/>
      <c r="G19" s="403"/>
      <c r="H19" s="403"/>
      <c r="I19" s="404"/>
      <c r="J19" s="376"/>
      <c r="K19" s="407"/>
      <c r="L19" s="351"/>
      <c r="M19" s="399"/>
    </row>
    <row r="20" spans="1:13" ht="12" customHeight="1">
      <c r="A20" s="39" t="s">
        <v>16</v>
      </c>
      <c r="B20" s="35" t="s">
        <v>508</v>
      </c>
      <c r="C20" s="36"/>
      <c r="D20" s="401"/>
      <c r="E20" s="401"/>
      <c r="F20" s="401"/>
      <c r="G20" s="403"/>
      <c r="H20" s="403"/>
      <c r="I20" s="404"/>
      <c r="J20" s="376"/>
      <c r="K20" s="407"/>
      <c r="L20" s="351"/>
      <c r="M20" s="399"/>
    </row>
    <row r="21" spans="1:13" ht="12" customHeight="1">
      <c r="A21" s="39" t="s">
        <v>58</v>
      </c>
      <c r="B21" s="35" t="s">
        <v>560</v>
      </c>
      <c r="C21" s="36"/>
      <c r="D21" s="411"/>
      <c r="E21" s="411"/>
      <c r="F21" s="401"/>
      <c r="G21" s="403"/>
      <c r="H21" s="403"/>
      <c r="I21" s="411"/>
      <c r="J21" s="412"/>
      <c r="K21" s="407"/>
      <c r="L21" s="351"/>
      <c r="M21" s="399"/>
    </row>
    <row r="22" spans="1:13" ht="12" customHeight="1">
      <c r="A22" s="39" t="s">
        <v>61</v>
      </c>
      <c r="B22" s="35" t="s">
        <v>357</v>
      </c>
      <c r="C22" s="36"/>
      <c r="D22" s="401"/>
      <c r="E22" s="401"/>
      <c r="F22" s="401"/>
      <c r="G22" s="403"/>
      <c r="H22" s="403"/>
      <c r="I22" s="404"/>
      <c r="J22" s="376"/>
      <c r="K22" s="407"/>
      <c r="L22" s="351"/>
      <c r="M22" s="399"/>
    </row>
    <row r="23" spans="1:13" ht="12" customHeight="1">
      <c r="A23" s="39" t="s">
        <v>63</v>
      </c>
      <c r="B23" s="35" t="s">
        <v>543</v>
      </c>
      <c r="C23" s="36"/>
      <c r="D23" s="401"/>
      <c r="E23" s="401"/>
      <c r="F23" s="401"/>
      <c r="G23" s="403"/>
      <c r="H23" s="403"/>
      <c r="I23" s="404"/>
      <c r="J23" s="376"/>
      <c r="K23" s="407"/>
      <c r="L23" s="410"/>
      <c r="M23" s="399"/>
    </row>
    <row r="24" spans="1:13" ht="12" customHeight="1">
      <c r="A24" s="39" t="s">
        <v>66</v>
      </c>
      <c r="B24" s="35" t="s">
        <v>315</v>
      </c>
      <c r="C24" s="36"/>
      <c r="D24" s="401"/>
      <c r="E24" s="401"/>
      <c r="F24" s="401"/>
      <c r="G24" s="403"/>
      <c r="H24" s="403"/>
      <c r="I24" s="404"/>
      <c r="J24" s="376"/>
      <c r="K24" s="407"/>
      <c r="L24" s="351"/>
      <c r="M24" s="399"/>
    </row>
    <row r="25" spans="1:16" ht="12" customHeight="1">
      <c r="A25" s="39" t="s">
        <v>69</v>
      </c>
      <c r="B25" s="273" t="s">
        <v>567</v>
      </c>
      <c r="C25" s="118"/>
      <c r="D25" s="401"/>
      <c r="E25" s="401"/>
      <c r="F25" s="401"/>
      <c r="G25" s="403"/>
      <c r="H25" s="403"/>
      <c r="I25" s="404"/>
      <c r="J25" s="380"/>
      <c r="K25" s="409"/>
      <c r="L25" s="410"/>
      <c r="M25" s="399"/>
      <c r="P25" s="110"/>
    </row>
    <row r="26" spans="1:13" ht="12" customHeight="1">
      <c r="A26" s="39" t="s">
        <v>72</v>
      </c>
      <c r="B26" s="35" t="s">
        <v>510</v>
      </c>
      <c r="C26" s="36"/>
      <c r="D26" s="401"/>
      <c r="E26" s="401"/>
      <c r="F26" s="401"/>
      <c r="G26" s="403"/>
      <c r="H26" s="403"/>
      <c r="I26" s="404"/>
      <c r="J26" s="376"/>
      <c r="K26" s="407"/>
      <c r="L26" s="351"/>
      <c r="M26" s="399"/>
    </row>
    <row r="27" spans="1:13" ht="12" customHeight="1">
      <c r="A27" s="39" t="s">
        <v>75</v>
      </c>
      <c r="B27" s="35" t="s">
        <v>562</v>
      </c>
      <c r="C27" s="36"/>
      <c r="D27" s="401"/>
      <c r="E27" s="401"/>
      <c r="F27" s="401"/>
      <c r="G27" s="403"/>
      <c r="H27" s="403"/>
      <c r="I27" s="404"/>
      <c r="J27" s="376"/>
      <c r="K27" s="407"/>
      <c r="L27" s="351"/>
      <c r="M27" s="399"/>
    </row>
    <row r="28" spans="1:13" ht="12" customHeight="1">
      <c r="A28" s="39" t="s">
        <v>77</v>
      </c>
      <c r="B28" s="35" t="s">
        <v>503</v>
      </c>
      <c r="C28" s="274"/>
      <c r="D28" s="401"/>
      <c r="E28" s="401"/>
      <c r="F28" s="401"/>
      <c r="G28" s="403"/>
      <c r="H28" s="403"/>
      <c r="I28" s="404"/>
      <c r="J28" s="376"/>
      <c r="K28" s="407"/>
      <c r="L28" s="352"/>
      <c r="M28" s="399"/>
    </row>
    <row r="29" spans="1:13" ht="12" customHeight="1">
      <c r="A29" s="39" t="s">
        <v>80</v>
      </c>
      <c r="B29" s="273" t="s">
        <v>506</v>
      </c>
      <c r="C29" s="274"/>
      <c r="D29" s="401"/>
      <c r="E29" s="401"/>
      <c r="F29" s="401"/>
      <c r="G29" s="403"/>
      <c r="H29" s="403"/>
      <c r="I29" s="404"/>
      <c r="J29" s="376"/>
      <c r="K29" s="407"/>
      <c r="L29" s="352"/>
      <c r="M29" s="399"/>
    </row>
    <row r="30" spans="1:13" ht="12" customHeight="1">
      <c r="A30" s="39" t="s">
        <v>83</v>
      </c>
      <c r="B30" s="35" t="s">
        <v>565</v>
      </c>
      <c r="C30" s="118"/>
      <c r="D30" s="401"/>
      <c r="E30" s="401"/>
      <c r="F30" s="401"/>
      <c r="G30" s="403"/>
      <c r="H30" s="403"/>
      <c r="I30" s="404"/>
      <c r="J30" s="376"/>
      <c r="K30" s="407"/>
      <c r="L30" s="410"/>
      <c r="M30" s="399"/>
    </row>
    <row r="31" spans="1:13" ht="12" customHeight="1">
      <c r="A31" s="39" t="s">
        <v>86</v>
      </c>
      <c r="B31" s="273" t="s">
        <v>494</v>
      </c>
      <c r="C31" s="36"/>
      <c r="D31" s="401"/>
      <c r="E31" s="401"/>
      <c r="F31" s="401"/>
      <c r="G31" s="403"/>
      <c r="H31" s="403"/>
      <c r="I31" s="404"/>
      <c r="J31" s="376"/>
      <c r="K31" s="407"/>
      <c r="L31" s="425"/>
      <c r="M31" s="399"/>
    </row>
    <row r="32" spans="1:13" ht="12" customHeight="1">
      <c r="A32" s="39" t="s">
        <v>89</v>
      </c>
      <c r="B32" s="35" t="s">
        <v>512</v>
      </c>
      <c r="C32" s="36"/>
      <c r="D32" s="401"/>
      <c r="E32" s="401"/>
      <c r="F32" s="401"/>
      <c r="G32" s="403"/>
      <c r="H32" s="403"/>
      <c r="I32" s="404"/>
      <c r="J32" s="376"/>
      <c r="K32" s="407"/>
      <c r="L32" s="351"/>
      <c r="M32" s="399"/>
    </row>
    <row r="33" spans="1:13" ht="12" customHeight="1">
      <c r="A33" s="39" t="s">
        <v>92</v>
      </c>
      <c r="B33" s="35" t="s">
        <v>564</v>
      </c>
      <c r="C33" s="36"/>
      <c r="D33" s="401"/>
      <c r="E33" s="401"/>
      <c r="F33" s="401"/>
      <c r="G33" s="403"/>
      <c r="H33" s="403"/>
      <c r="I33" s="404"/>
      <c r="J33" s="376"/>
      <c r="K33" s="407"/>
      <c r="L33" s="351"/>
      <c r="M33" s="399"/>
    </row>
    <row r="34" spans="1:13" ht="12" customHeight="1">
      <c r="A34" s="39" t="s">
        <v>93</v>
      </c>
      <c r="B34" s="35" t="s">
        <v>563</v>
      </c>
      <c r="C34" s="36"/>
      <c r="D34" s="401"/>
      <c r="E34" s="401"/>
      <c r="F34" s="401"/>
      <c r="G34" s="403"/>
      <c r="H34" s="403"/>
      <c r="I34" s="404"/>
      <c r="J34" s="376"/>
      <c r="K34" s="407"/>
      <c r="L34" s="351"/>
      <c r="M34" s="399"/>
    </row>
    <row r="35" spans="1:13" ht="12" customHeight="1">
      <c r="A35" s="39" t="s">
        <v>96</v>
      </c>
      <c r="B35" s="35" t="s">
        <v>336</v>
      </c>
      <c r="C35" s="36"/>
      <c r="D35" s="401"/>
      <c r="E35" s="401"/>
      <c r="F35" s="401"/>
      <c r="G35" s="403"/>
      <c r="H35" s="403"/>
      <c r="I35" s="404"/>
      <c r="J35" s="376"/>
      <c r="K35" s="407"/>
      <c r="L35" s="410"/>
      <c r="M35" s="399"/>
    </row>
    <row r="36" spans="1:13" ht="63.75" customHeight="1">
      <c r="A36" s="39" t="s">
        <v>98</v>
      </c>
      <c r="B36" s="35" t="s">
        <v>580</v>
      </c>
      <c r="C36" s="36"/>
      <c r="D36" s="401"/>
      <c r="E36" s="401"/>
      <c r="F36" s="401"/>
      <c r="G36" s="403"/>
      <c r="H36" s="403"/>
      <c r="I36" s="404"/>
      <c r="J36" s="376"/>
      <c r="K36" s="407"/>
      <c r="L36" s="351"/>
      <c r="M36" s="399"/>
    </row>
    <row r="37" spans="1:13" ht="12" customHeight="1">
      <c r="A37" s="39" t="s">
        <v>101</v>
      </c>
      <c r="B37" s="35" t="s">
        <v>384</v>
      </c>
      <c r="C37" s="36"/>
      <c r="D37" s="401"/>
      <c r="E37" s="401"/>
      <c r="F37" s="401"/>
      <c r="G37" s="403"/>
      <c r="H37" s="403"/>
      <c r="I37" s="404"/>
      <c r="J37" s="376"/>
      <c r="K37" s="407"/>
      <c r="L37" s="351"/>
      <c r="M37" s="399"/>
    </row>
    <row r="38" spans="1:13" ht="12" customHeight="1">
      <c r="A38" s="39" t="s">
        <v>104</v>
      </c>
      <c r="B38" s="35" t="s">
        <v>308</v>
      </c>
      <c r="C38" s="36"/>
      <c r="D38" s="401"/>
      <c r="E38" s="401"/>
      <c r="F38" s="401"/>
      <c r="G38" s="403"/>
      <c r="H38" s="403"/>
      <c r="I38" s="404"/>
      <c r="J38" s="376"/>
      <c r="K38" s="407"/>
      <c r="L38" s="351"/>
      <c r="M38" s="399"/>
    </row>
    <row r="39" spans="1:13" ht="12" customHeight="1">
      <c r="A39" s="39" t="s">
        <v>107</v>
      </c>
      <c r="B39" s="35" t="s">
        <v>507</v>
      </c>
      <c r="C39" s="36"/>
      <c r="D39" s="401"/>
      <c r="E39" s="401"/>
      <c r="F39" s="401"/>
      <c r="G39" s="403"/>
      <c r="H39" s="403"/>
      <c r="I39" s="404"/>
      <c r="J39" s="376"/>
      <c r="K39" s="407"/>
      <c r="L39" s="351"/>
      <c r="M39" s="399"/>
    </row>
    <row r="40" spans="1:13" ht="12" customHeight="1">
      <c r="A40" s="39" t="s">
        <v>110</v>
      </c>
      <c r="B40" s="35" t="s">
        <v>383</v>
      </c>
      <c r="C40" s="36"/>
      <c r="D40" s="401"/>
      <c r="E40" s="401"/>
      <c r="F40" s="401"/>
      <c r="G40" s="403"/>
      <c r="H40" s="403"/>
      <c r="I40" s="404"/>
      <c r="J40" s="376"/>
      <c r="K40" s="407"/>
      <c r="L40" s="351"/>
      <c r="M40" s="399"/>
    </row>
    <row r="41" spans="1:13" ht="12" customHeight="1">
      <c r="A41" s="39" t="s">
        <v>113</v>
      </c>
      <c r="B41" s="35" t="s">
        <v>328</v>
      </c>
      <c r="C41" s="36"/>
      <c r="D41" s="401"/>
      <c r="E41" s="401"/>
      <c r="F41" s="401"/>
      <c r="G41" s="403"/>
      <c r="H41" s="403"/>
      <c r="I41" s="404"/>
      <c r="J41" s="376"/>
      <c r="K41" s="407"/>
      <c r="L41" s="351"/>
      <c r="M41" s="399"/>
    </row>
    <row r="42" spans="1:13" ht="12" customHeight="1">
      <c r="A42" s="39" t="s">
        <v>116</v>
      </c>
      <c r="B42" s="35" t="s">
        <v>505</v>
      </c>
      <c r="C42" s="36"/>
      <c r="D42" s="401"/>
      <c r="E42" s="401"/>
      <c r="F42" s="401"/>
      <c r="G42" s="403"/>
      <c r="H42" s="403"/>
      <c r="I42" s="404"/>
      <c r="J42" s="376"/>
      <c r="K42" s="407"/>
      <c r="L42" s="351"/>
      <c r="M42" s="399"/>
    </row>
    <row r="43" spans="1:13" ht="12" customHeight="1">
      <c r="A43" s="39" t="s">
        <v>119</v>
      </c>
      <c r="B43" s="35" t="s">
        <v>368</v>
      </c>
      <c r="C43" s="36"/>
      <c r="D43" s="401"/>
      <c r="E43" s="401"/>
      <c r="F43" s="401"/>
      <c r="G43" s="403"/>
      <c r="H43" s="403"/>
      <c r="I43" s="404"/>
      <c r="J43" s="376"/>
      <c r="K43" s="407"/>
      <c r="L43" s="410"/>
      <c r="M43" s="399"/>
    </row>
    <row r="44" spans="1:13" ht="12" customHeight="1">
      <c r="A44" s="39" t="s">
        <v>122</v>
      </c>
      <c r="B44" s="35" t="s">
        <v>529</v>
      </c>
      <c r="C44" s="36"/>
      <c r="D44" s="401"/>
      <c r="E44" s="401"/>
      <c r="F44" s="401"/>
      <c r="G44" s="403"/>
      <c r="H44" s="403"/>
      <c r="I44" s="404"/>
      <c r="J44" s="376"/>
      <c r="K44" s="407"/>
      <c r="L44" s="351"/>
      <c r="M44" s="399"/>
    </row>
    <row r="45" spans="1:13" ht="12" customHeight="1">
      <c r="A45" s="39" t="s">
        <v>125</v>
      </c>
      <c r="B45" s="35" t="s">
        <v>569</v>
      </c>
      <c r="C45" s="36"/>
      <c r="D45" s="401"/>
      <c r="E45" s="401"/>
      <c r="F45" s="401"/>
      <c r="G45" s="403"/>
      <c r="H45" s="403"/>
      <c r="I45" s="404"/>
      <c r="J45" s="376"/>
      <c r="K45" s="407"/>
      <c r="L45" s="351"/>
      <c r="M45" s="399"/>
    </row>
    <row r="46" spans="1:13" ht="12" customHeight="1">
      <c r="A46" s="39" t="s">
        <v>128</v>
      </c>
      <c r="B46" s="35" t="s">
        <v>381</v>
      </c>
      <c r="C46" s="36"/>
      <c r="D46" s="401"/>
      <c r="E46" s="401"/>
      <c r="F46" s="401"/>
      <c r="G46" s="403"/>
      <c r="H46" s="403"/>
      <c r="I46" s="404"/>
      <c r="J46" s="376"/>
      <c r="K46" s="407"/>
      <c r="L46" s="351"/>
      <c r="M46" s="399"/>
    </row>
    <row r="47" spans="1:13" ht="12" customHeight="1">
      <c r="A47" s="39" t="s">
        <v>131</v>
      </c>
      <c r="B47" s="35" t="s">
        <v>579</v>
      </c>
      <c r="C47" s="118"/>
      <c r="D47" s="402"/>
      <c r="E47" s="402"/>
      <c r="F47" s="402"/>
      <c r="G47" s="405"/>
      <c r="H47" s="405"/>
      <c r="I47" s="402"/>
      <c r="J47" s="393"/>
      <c r="K47" s="408"/>
      <c r="L47" s="390"/>
      <c r="M47" s="399"/>
    </row>
    <row r="48" spans="1:13" ht="12" customHeight="1">
      <c r="A48" s="39" t="s">
        <v>134</v>
      </c>
      <c r="B48" s="35" t="s">
        <v>572</v>
      </c>
      <c r="C48" s="36"/>
      <c r="D48" s="401"/>
      <c r="E48" s="401"/>
      <c r="F48" s="401"/>
      <c r="G48" s="403"/>
      <c r="H48" s="403"/>
      <c r="I48" s="404"/>
      <c r="J48" s="376"/>
      <c r="K48" s="407"/>
      <c r="L48" s="351"/>
      <c r="M48" s="399"/>
    </row>
    <row r="49" spans="1:13" ht="12" customHeight="1">
      <c r="A49" s="39" t="s">
        <v>137</v>
      </c>
      <c r="B49" s="273" t="s">
        <v>515</v>
      </c>
      <c r="C49" s="118"/>
      <c r="D49" s="402"/>
      <c r="E49" s="402"/>
      <c r="F49" s="402"/>
      <c r="G49" s="405"/>
      <c r="H49" s="405"/>
      <c r="I49" s="402"/>
      <c r="J49" s="393"/>
      <c r="K49" s="408"/>
      <c r="L49" s="390"/>
      <c r="M49" s="399"/>
    </row>
    <row r="50" spans="1:13" ht="12" customHeight="1">
      <c r="A50" s="39" t="s">
        <v>140</v>
      </c>
      <c r="B50" s="35" t="s">
        <v>530</v>
      </c>
      <c r="C50" s="36"/>
      <c r="D50" s="401"/>
      <c r="E50" s="401"/>
      <c r="F50" s="401"/>
      <c r="G50" s="403"/>
      <c r="H50" s="403"/>
      <c r="I50" s="404"/>
      <c r="J50" s="376"/>
      <c r="K50" s="407"/>
      <c r="L50" s="351"/>
      <c r="M50" s="399"/>
    </row>
    <row r="51" spans="1:13" ht="12" customHeight="1">
      <c r="A51" s="39" t="s">
        <v>143</v>
      </c>
      <c r="B51" s="273" t="s">
        <v>514</v>
      </c>
      <c r="C51" s="36"/>
      <c r="D51" s="401"/>
      <c r="E51" s="401"/>
      <c r="F51" s="401"/>
      <c r="G51" s="403"/>
      <c r="H51" s="403"/>
      <c r="I51" s="404"/>
      <c r="J51" s="376"/>
      <c r="K51" s="407"/>
      <c r="L51" s="410"/>
      <c r="M51" s="399"/>
    </row>
    <row r="52" spans="1:13" ht="12" customHeight="1">
      <c r="A52" s="39" t="s">
        <v>144</v>
      </c>
      <c r="B52" s="35" t="s">
        <v>499</v>
      </c>
      <c r="C52" s="36"/>
      <c r="D52" s="401"/>
      <c r="E52" s="401"/>
      <c r="F52" s="401"/>
      <c r="G52" s="403"/>
      <c r="H52" s="403"/>
      <c r="I52" s="404"/>
      <c r="J52" s="376"/>
      <c r="K52" s="407"/>
      <c r="L52" s="410"/>
      <c r="M52" s="399"/>
    </row>
    <row r="53" spans="1:13" ht="12" customHeight="1">
      <c r="A53" s="39" t="s">
        <v>147</v>
      </c>
      <c r="B53" s="35" t="s">
        <v>378</v>
      </c>
      <c r="C53" s="36"/>
      <c r="D53" s="401"/>
      <c r="E53" s="401"/>
      <c r="F53" s="401"/>
      <c r="G53" s="403"/>
      <c r="H53" s="403"/>
      <c r="I53" s="404"/>
      <c r="J53" s="376"/>
      <c r="K53" s="407"/>
      <c r="L53" s="351"/>
      <c r="M53" s="399"/>
    </row>
    <row r="54" spans="1:13" ht="12" customHeight="1">
      <c r="A54" s="39" t="s">
        <v>150</v>
      </c>
      <c r="B54" s="35" t="s">
        <v>581</v>
      </c>
      <c r="C54" s="36"/>
      <c r="D54" s="401"/>
      <c r="E54" s="401"/>
      <c r="F54" s="401"/>
      <c r="G54" s="403"/>
      <c r="H54" s="403"/>
      <c r="I54" s="404"/>
      <c r="J54" s="376"/>
      <c r="K54" s="407"/>
      <c r="L54" s="351"/>
      <c r="M54" s="399"/>
    </row>
    <row r="55" spans="1:13" ht="12" customHeight="1">
      <c r="A55" s="39" t="s">
        <v>153</v>
      </c>
      <c r="B55" s="35" t="s">
        <v>531</v>
      </c>
      <c r="C55" s="36"/>
      <c r="D55" s="401"/>
      <c r="E55" s="401"/>
      <c r="F55" s="401"/>
      <c r="G55" s="403"/>
      <c r="H55" s="403"/>
      <c r="I55" s="404"/>
      <c r="J55" s="376"/>
      <c r="K55" s="407"/>
      <c r="L55" s="351"/>
      <c r="M55" s="399"/>
    </row>
    <row r="56" spans="1:13" ht="12" customHeight="1">
      <c r="A56" s="39" t="s">
        <v>156</v>
      </c>
      <c r="B56" s="35" t="s">
        <v>382</v>
      </c>
      <c r="C56" s="36"/>
      <c r="D56" s="401"/>
      <c r="E56" s="401"/>
      <c r="F56" s="401"/>
      <c r="G56" s="403"/>
      <c r="H56" s="403"/>
      <c r="I56" s="404"/>
      <c r="J56" s="376"/>
      <c r="K56" s="407"/>
      <c r="L56" s="351"/>
      <c r="M56" s="399"/>
    </row>
    <row r="57" spans="1:13" ht="12" customHeight="1">
      <c r="A57" s="39" t="s">
        <v>157</v>
      </c>
      <c r="B57" s="35" t="s">
        <v>330</v>
      </c>
      <c r="C57" s="36"/>
      <c r="D57" s="401"/>
      <c r="E57" s="401"/>
      <c r="F57" s="401"/>
      <c r="G57" s="403"/>
      <c r="H57" s="403"/>
      <c r="I57" s="404"/>
      <c r="J57" s="376"/>
      <c r="K57" s="407"/>
      <c r="L57" s="351"/>
      <c r="M57" s="399"/>
    </row>
    <row r="58" spans="1:13" ht="12" customHeight="1">
      <c r="A58" s="39" t="s">
        <v>160</v>
      </c>
      <c r="B58" s="35" t="s">
        <v>546</v>
      </c>
      <c r="C58" s="274"/>
      <c r="D58" s="401"/>
      <c r="E58" s="401"/>
      <c r="F58" s="401"/>
      <c r="G58" s="403"/>
      <c r="H58" s="403"/>
      <c r="I58" s="404"/>
      <c r="J58" s="376"/>
      <c r="K58" s="407"/>
      <c r="L58" s="352"/>
      <c r="M58" s="399"/>
    </row>
    <row r="59" spans="1:13" ht="12" customHeight="1">
      <c r="A59" s="39" t="s">
        <v>161</v>
      </c>
      <c r="B59" s="35" t="s">
        <v>364</v>
      </c>
      <c r="C59" s="36"/>
      <c r="D59" s="401"/>
      <c r="E59" s="401"/>
      <c r="F59" s="401"/>
      <c r="G59" s="403"/>
      <c r="H59" s="403"/>
      <c r="I59" s="404"/>
      <c r="J59" s="376"/>
      <c r="K59" s="407"/>
      <c r="L59" s="351"/>
      <c r="M59" s="399"/>
    </row>
    <row r="60" spans="1:13" ht="12" customHeight="1">
      <c r="A60" s="39" t="s">
        <v>164</v>
      </c>
      <c r="B60" s="35" t="s">
        <v>365</v>
      </c>
      <c r="C60" s="36"/>
      <c r="D60" s="401"/>
      <c r="E60" s="401"/>
      <c r="F60" s="401"/>
      <c r="G60" s="403"/>
      <c r="H60" s="403"/>
      <c r="I60" s="404"/>
      <c r="J60" s="376"/>
      <c r="K60" s="407"/>
      <c r="L60" s="351"/>
      <c r="M60" s="399"/>
    </row>
    <row r="61" spans="1:13" ht="12" customHeight="1">
      <c r="A61" s="39" t="s">
        <v>167</v>
      </c>
      <c r="B61" s="35" t="s">
        <v>309</v>
      </c>
      <c r="C61" s="274"/>
      <c r="D61" s="401"/>
      <c r="E61" s="401"/>
      <c r="F61" s="401"/>
      <c r="G61" s="403"/>
      <c r="H61" s="403"/>
      <c r="I61" s="404"/>
      <c r="J61" s="376"/>
      <c r="K61" s="407"/>
      <c r="L61" s="352"/>
      <c r="M61" s="399"/>
    </row>
    <row r="62" spans="1:13" ht="12" customHeight="1">
      <c r="A62" s="39" t="s">
        <v>170</v>
      </c>
      <c r="B62" s="35" t="s">
        <v>566</v>
      </c>
      <c r="C62" s="36"/>
      <c r="D62" s="401"/>
      <c r="E62" s="401"/>
      <c r="F62" s="401"/>
      <c r="G62" s="403"/>
      <c r="H62" s="403"/>
      <c r="I62" s="404"/>
      <c r="J62" s="376"/>
      <c r="K62" s="407"/>
      <c r="L62" s="351"/>
      <c r="M62" s="399"/>
    </row>
    <row r="63" spans="1:13" ht="12" customHeight="1">
      <c r="A63" s="39" t="s">
        <v>173</v>
      </c>
      <c r="B63" s="273" t="s">
        <v>376</v>
      </c>
      <c r="C63" s="36"/>
      <c r="D63" s="401"/>
      <c r="E63" s="401"/>
      <c r="F63" s="401"/>
      <c r="G63" s="403"/>
      <c r="H63" s="403"/>
      <c r="I63" s="404"/>
      <c r="J63" s="376"/>
      <c r="K63" s="407"/>
      <c r="L63" s="351"/>
      <c r="M63" s="399"/>
    </row>
    <row r="64" spans="1:13" ht="12" customHeight="1">
      <c r="A64" s="39" t="s">
        <v>176</v>
      </c>
      <c r="B64" s="35" t="s">
        <v>369</v>
      </c>
      <c r="C64" s="36"/>
      <c r="D64" s="401"/>
      <c r="E64" s="401"/>
      <c r="F64" s="401"/>
      <c r="G64" s="403"/>
      <c r="H64" s="403"/>
      <c r="I64" s="404"/>
      <c r="J64" s="376"/>
      <c r="K64" s="407"/>
      <c r="L64" s="351"/>
      <c r="M64" s="399"/>
    </row>
    <row r="65" spans="1:13" ht="12" customHeight="1">
      <c r="A65" s="39" t="s">
        <v>179</v>
      </c>
      <c r="B65" s="35" t="s">
        <v>337</v>
      </c>
      <c r="C65" s="36"/>
      <c r="D65" s="401"/>
      <c r="E65" s="401"/>
      <c r="F65" s="401"/>
      <c r="G65" s="403"/>
      <c r="H65" s="403"/>
      <c r="I65" s="404"/>
      <c r="J65" s="376"/>
      <c r="K65" s="407"/>
      <c r="L65" s="351"/>
      <c r="M65" s="399"/>
    </row>
    <row r="66" spans="1:13" ht="12" customHeight="1">
      <c r="A66" s="39" t="s">
        <v>182</v>
      </c>
      <c r="B66" s="35" t="s">
        <v>377</v>
      </c>
      <c r="C66" s="36"/>
      <c r="D66" s="401"/>
      <c r="E66" s="401"/>
      <c r="F66" s="401"/>
      <c r="G66" s="403"/>
      <c r="H66" s="403"/>
      <c r="I66" s="404"/>
      <c r="J66" s="376"/>
      <c r="K66" s="407"/>
      <c r="L66" s="351"/>
      <c r="M66" s="399"/>
    </row>
    <row r="67" spans="1:13" ht="12" customHeight="1">
      <c r="A67" s="39" t="s">
        <v>185</v>
      </c>
      <c r="B67" s="35" t="s">
        <v>509</v>
      </c>
      <c r="C67" s="36"/>
      <c r="D67" s="401"/>
      <c r="E67" s="401"/>
      <c r="F67" s="401"/>
      <c r="G67" s="403"/>
      <c r="H67" s="403"/>
      <c r="I67" s="404"/>
      <c r="J67" s="376"/>
      <c r="K67" s="407"/>
      <c r="L67" s="351"/>
      <c r="M67" s="399"/>
    </row>
    <row r="68" spans="1:13" ht="12" customHeight="1">
      <c r="A68" s="39" t="s">
        <v>188</v>
      </c>
      <c r="B68" s="35" t="s">
        <v>327</v>
      </c>
      <c r="C68" s="36"/>
      <c r="D68" s="401"/>
      <c r="E68" s="401"/>
      <c r="F68" s="401"/>
      <c r="G68" s="403"/>
      <c r="H68" s="403"/>
      <c r="I68" s="404"/>
      <c r="J68" s="376"/>
      <c r="K68" s="407"/>
      <c r="L68" s="351"/>
      <c r="M68" s="399"/>
    </row>
    <row r="69" spans="1:13" ht="12" customHeight="1">
      <c r="A69" s="39" t="s">
        <v>191</v>
      </c>
      <c r="B69" s="35" t="s">
        <v>547</v>
      </c>
      <c r="C69" s="36"/>
      <c r="D69" s="401"/>
      <c r="E69" s="401"/>
      <c r="F69" s="401"/>
      <c r="G69" s="403"/>
      <c r="H69" s="403"/>
      <c r="I69" s="404"/>
      <c r="J69" s="376"/>
      <c r="K69" s="407"/>
      <c r="L69" s="351"/>
      <c r="M69" s="399"/>
    </row>
    <row r="70" spans="1:13" ht="12" customHeight="1">
      <c r="A70" s="39" t="s">
        <v>194</v>
      </c>
      <c r="B70" s="35" t="s">
        <v>344</v>
      </c>
      <c r="C70" s="36"/>
      <c r="D70" s="401"/>
      <c r="E70" s="401"/>
      <c r="F70" s="401"/>
      <c r="G70" s="403"/>
      <c r="H70" s="403"/>
      <c r="I70" s="404"/>
      <c r="J70" s="376"/>
      <c r="K70" s="407"/>
      <c r="L70" s="351"/>
      <c r="M70" s="399"/>
    </row>
    <row r="71" spans="1:13" ht="12" customHeight="1">
      <c r="A71" s="39" t="s">
        <v>197</v>
      </c>
      <c r="B71" s="35" t="s">
        <v>348</v>
      </c>
      <c r="C71" s="36"/>
      <c r="D71" s="401"/>
      <c r="E71" s="401"/>
      <c r="F71" s="401"/>
      <c r="G71" s="403"/>
      <c r="H71" s="403"/>
      <c r="I71" s="404"/>
      <c r="J71" s="376"/>
      <c r="K71" s="407"/>
      <c r="L71" s="351"/>
      <c r="M71" s="399"/>
    </row>
    <row r="72" spans="1:13" ht="12" customHeight="1">
      <c r="A72" s="39" t="s">
        <v>200</v>
      </c>
      <c r="B72" s="35" t="s">
        <v>347</v>
      </c>
      <c r="C72" s="36"/>
      <c r="D72" s="401"/>
      <c r="E72" s="401"/>
      <c r="F72" s="401"/>
      <c r="G72" s="403"/>
      <c r="H72" s="403"/>
      <c r="I72" s="404"/>
      <c r="J72" s="376"/>
      <c r="K72" s="407"/>
      <c r="L72" s="351"/>
      <c r="M72" s="399"/>
    </row>
    <row r="73" spans="1:13" ht="63.75" customHeight="1">
      <c r="A73" s="39" t="s">
        <v>203</v>
      </c>
      <c r="B73" s="35" t="s">
        <v>493</v>
      </c>
      <c r="C73" s="36"/>
      <c r="D73" s="401"/>
      <c r="E73" s="401"/>
      <c r="F73" s="401"/>
      <c r="G73" s="403"/>
      <c r="H73" s="403"/>
      <c r="I73" s="404"/>
      <c r="J73" s="376"/>
      <c r="K73" s="407"/>
      <c r="L73" s="351"/>
      <c r="M73" s="399"/>
    </row>
    <row r="74" spans="1:13" ht="12" customHeight="1">
      <c r="A74" s="39" t="s">
        <v>206</v>
      </c>
      <c r="B74" s="273" t="s">
        <v>532</v>
      </c>
      <c r="C74" s="274"/>
      <c r="D74" s="401"/>
      <c r="E74" s="401"/>
      <c r="F74" s="401"/>
      <c r="G74" s="403"/>
      <c r="H74" s="403"/>
      <c r="I74" s="404"/>
      <c r="J74" s="376"/>
      <c r="K74" s="407"/>
      <c r="L74" s="352"/>
      <c r="M74" s="399"/>
    </row>
    <row r="75" spans="1:13" ht="12" customHeight="1">
      <c r="A75" s="39" t="s">
        <v>209</v>
      </c>
      <c r="B75" s="35" t="s">
        <v>570</v>
      </c>
      <c r="C75" s="36"/>
      <c r="D75" s="401"/>
      <c r="E75" s="401"/>
      <c r="F75" s="401"/>
      <c r="G75" s="403"/>
      <c r="H75" s="403"/>
      <c r="I75" s="404"/>
      <c r="J75" s="376"/>
      <c r="K75" s="407"/>
      <c r="L75" s="351"/>
      <c r="M75" s="399"/>
    </row>
    <row r="76" spans="1:13" ht="12" customHeight="1">
      <c r="A76" s="39" t="s">
        <v>212</v>
      </c>
      <c r="B76" s="35" t="s">
        <v>571</v>
      </c>
      <c r="C76" s="36"/>
      <c r="D76" s="401"/>
      <c r="E76" s="401"/>
      <c r="F76" s="401"/>
      <c r="G76" s="403"/>
      <c r="H76" s="403"/>
      <c r="I76" s="404"/>
      <c r="J76" s="376"/>
      <c r="K76" s="407"/>
      <c r="L76" s="351"/>
      <c r="M76" s="399"/>
    </row>
    <row r="77" spans="1:13" ht="12" customHeight="1">
      <c r="A77" s="39" t="s">
        <v>215</v>
      </c>
      <c r="B77" s="35" t="s">
        <v>359</v>
      </c>
      <c r="C77" s="36"/>
      <c r="D77" s="401"/>
      <c r="E77" s="401"/>
      <c r="F77" s="401"/>
      <c r="G77" s="403"/>
      <c r="H77" s="403"/>
      <c r="I77" s="404"/>
      <c r="J77" s="376"/>
      <c r="K77" s="407"/>
      <c r="L77" s="351"/>
      <c r="M77" s="399"/>
    </row>
    <row r="78" spans="1:13" ht="12" customHeight="1">
      <c r="A78" s="39" t="s">
        <v>218</v>
      </c>
      <c r="B78" s="35" t="s">
        <v>551</v>
      </c>
      <c r="C78" s="36"/>
      <c r="D78" s="401"/>
      <c r="E78" s="401"/>
      <c r="F78" s="401"/>
      <c r="G78" s="403"/>
      <c r="H78" s="403"/>
      <c r="I78" s="404"/>
      <c r="J78" s="376"/>
      <c r="K78" s="407"/>
      <c r="L78" s="351"/>
      <c r="M78" s="399"/>
    </row>
    <row r="79" spans="1:13" ht="12" customHeight="1">
      <c r="A79" s="39" t="s">
        <v>219</v>
      </c>
      <c r="B79" s="35" t="s">
        <v>379</v>
      </c>
      <c r="C79" s="36"/>
      <c r="D79" s="401"/>
      <c r="E79" s="401"/>
      <c r="F79" s="401"/>
      <c r="G79" s="403"/>
      <c r="H79" s="403"/>
      <c r="I79" s="404"/>
      <c r="J79" s="376"/>
      <c r="K79" s="407"/>
      <c r="L79" s="351"/>
      <c r="M79" s="399"/>
    </row>
    <row r="80" spans="1:13" ht="12" customHeight="1">
      <c r="A80" s="39" t="s">
        <v>220</v>
      </c>
      <c r="B80" s="273" t="s">
        <v>504</v>
      </c>
      <c r="C80" s="274"/>
      <c r="D80" s="401"/>
      <c r="E80" s="401"/>
      <c r="F80" s="401"/>
      <c r="G80" s="403"/>
      <c r="H80" s="403"/>
      <c r="I80" s="404"/>
      <c r="J80" s="376"/>
      <c r="K80" s="407"/>
      <c r="L80" s="413"/>
      <c r="M80" s="399"/>
    </row>
    <row r="81" spans="1:13" ht="12" customHeight="1">
      <c r="A81" s="39" t="s">
        <v>223</v>
      </c>
      <c r="B81" s="35" t="s">
        <v>498</v>
      </c>
      <c r="C81" s="36"/>
      <c r="D81" s="401"/>
      <c r="E81" s="401"/>
      <c r="F81" s="401"/>
      <c r="G81" s="403"/>
      <c r="H81" s="403"/>
      <c r="I81" s="404"/>
      <c r="J81" s="376"/>
      <c r="K81" s="407"/>
      <c r="L81" s="351"/>
      <c r="M81" s="399"/>
    </row>
    <row r="82" spans="1:13" ht="12" customHeight="1">
      <c r="A82" s="39" t="s">
        <v>226</v>
      </c>
      <c r="B82" s="35" t="s">
        <v>516</v>
      </c>
      <c r="C82" s="36"/>
      <c r="D82" s="401"/>
      <c r="E82" s="401"/>
      <c r="F82" s="401"/>
      <c r="G82" s="403"/>
      <c r="H82" s="403"/>
      <c r="I82" s="404"/>
      <c r="J82" s="376"/>
      <c r="K82" s="407"/>
      <c r="L82" s="351"/>
      <c r="M82" s="399"/>
    </row>
    <row r="83" spans="1:13" ht="12" customHeight="1">
      <c r="A83" s="39" t="s">
        <v>229</v>
      </c>
      <c r="B83" s="35" t="s">
        <v>497</v>
      </c>
      <c r="C83" s="36"/>
      <c r="D83" s="401"/>
      <c r="E83" s="401"/>
      <c r="F83" s="401"/>
      <c r="G83" s="403"/>
      <c r="H83" s="403"/>
      <c r="I83" s="404"/>
      <c r="J83" s="376"/>
      <c r="K83" s="407"/>
      <c r="L83" s="351"/>
      <c r="M83" s="399"/>
    </row>
    <row r="84" spans="1:13" ht="12" customHeight="1">
      <c r="A84" s="39" t="s">
        <v>297</v>
      </c>
      <c r="B84" s="35" t="s">
        <v>568</v>
      </c>
      <c r="C84" s="36"/>
      <c r="D84" s="401"/>
      <c r="E84" s="401"/>
      <c r="F84" s="401"/>
      <c r="G84" s="403"/>
      <c r="H84" s="403"/>
      <c r="I84" s="404"/>
      <c r="J84" s="376"/>
      <c r="K84" s="407"/>
      <c r="L84" s="351"/>
      <c r="M84" s="399"/>
    </row>
    <row r="85" spans="1:13" ht="12" customHeight="1">
      <c r="A85" s="39" t="s">
        <v>300</v>
      </c>
      <c r="B85" s="35" t="s">
        <v>517</v>
      </c>
      <c r="C85" s="118"/>
      <c r="D85" s="401"/>
      <c r="E85" s="401"/>
      <c r="F85" s="401"/>
      <c r="G85" s="403"/>
      <c r="H85" s="403"/>
      <c r="I85" s="404"/>
      <c r="J85" s="426"/>
      <c r="K85" s="406"/>
      <c r="L85" s="351"/>
      <c r="M85" s="399"/>
    </row>
    <row r="86" spans="1:13" ht="12" customHeight="1">
      <c r="A86" s="39" t="s">
        <v>393</v>
      </c>
      <c r="B86" s="35" t="s">
        <v>502</v>
      </c>
      <c r="C86" s="36"/>
      <c r="D86" s="401"/>
      <c r="E86" s="401"/>
      <c r="F86" s="401"/>
      <c r="G86" s="403"/>
      <c r="H86" s="403"/>
      <c r="I86" s="404"/>
      <c r="J86" s="376"/>
      <c r="K86" s="407"/>
      <c r="L86" s="351"/>
      <c r="M86" s="399"/>
    </row>
    <row r="87" spans="1:13" ht="12" customHeight="1">
      <c r="A87" s="39" t="s">
        <v>419</v>
      </c>
      <c r="B87" s="35" t="s">
        <v>533</v>
      </c>
      <c r="C87" s="118"/>
      <c r="D87" s="401"/>
      <c r="E87" s="401"/>
      <c r="F87" s="401"/>
      <c r="G87" s="403"/>
      <c r="H87" s="403"/>
      <c r="I87" s="404"/>
      <c r="J87" s="380"/>
      <c r="K87" s="406"/>
      <c r="L87" s="351"/>
      <c r="M87" s="399"/>
    </row>
    <row r="88" spans="1:13" ht="12" customHeight="1">
      <c r="A88" s="39" t="s">
        <v>420</v>
      </c>
      <c r="B88" s="35" t="s">
        <v>374</v>
      </c>
      <c r="C88" s="36"/>
      <c r="D88" s="401"/>
      <c r="E88" s="401"/>
      <c r="F88" s="401"/>
      <c r="G88" s="403"/>
      <c r="H88" s="403"/>
      <c r="I88" s="404"/>
      <c r="J88" s="376"/>
      <c r="K88" s="407"/>
      <c r="L88" s="410"/>
      <c r="M88" s="399"/>
    </row>
    <row r="89" spans="1:13" ht="12" customHeight="1">
      <c r="A89" s="39" t="s">
        <v>575</v>
      </c>
      <c r="B89" s="35" t="s">
        <v>370</v>
      </c>
      <c r="C89" s="36"/>
      <c r="D89" s="401"/>
      <c r="E89" s="401"/>
      <c r="F89" s="401"/>
      <c r="G89" s="403"/>
      <c r="H89" s="403"/>
      <c r="I89" s="404"/>
      <c r="J89" s="376"/>
      <c r="K89" s="407"/>
      <c r="L89" s="351"/>
      <c r="M89" s="399"/>
    </row>
    <row r="90" spans="1:13" ht="12" customHeight="1">
      <c r="A90" s="39" t="s">
        <v>576</v>
      </c>
      <c r="B90" s="35" t="s">
        <v>325</v>
      </c>
      <c r="C90" s="36"/>
      <c r="D90" s="401"/>
      <c r="E90" s="401"/>
      <c r="F90" s="401"/>
      <c r="G90" s="403"/>
      <c r="H90" s="403"/>
      <c r="I90" s="404"/>
      <c r="J90" s="376"/>
      <c r="K90" s="407"/>
      <c r="L90" s="351"/>
      <c r="M90" s="399"/>
    </row>
    <row r="91" spans="1:13" ht="12" customHeight="1">
      <c r="A91" s="39" t="s">
        <v>577</v>
      </c>
      <c r="B91" s="35" t="s">
        <v>352</v>
      </c>
      <c r="C91" s="36"/>
      <c r="D91" s="401"/>
      <c r="E91" s="401"/>
      <c r="F91" s="401"/>
      <c r="G91" s="403"/>
      <c r="H91" s="403"/>
      <c r="I91" s="404"/>
      <c r="J91" s="376"/>
      <c r="K91" s="407"/>
      <c r="L91" s="351"/>
      <c r="M91" s="399"/>
    </row>
    <row r="92" spans="1:13" ht="12" customHeight="1">
      <c r="A92" s="419"/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1"/>
    </row>
    <row r="93" spans="1:13" ht="12" customHeight="1">
      <c r="A93" s="422"/>
      <c r="B93" s="423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4"/>
    </row>
    <row r="94" spans="1:13" ht="12" customHeight="1">
      <c r="A94" s="39"/>
      <c r="B94" s="417"/>
      <c r="C94" s="158"/>
      <c r="D94" s="417"/>
      <c r="E94" s="417"/>
      <c r="F94" s="417"/>
      <c r="G94" s="417"/>
      <c r="H94" s="417"/>
      <c r="I94" s="417"/>
      <c r="J94" s="417"/>
      <c r="K94" s="417"/>
      <c r="L94" s="418"/>
      <c r="M94" s="416"/>
    </row>
  </sheetData>
  <sheetProtection/>
  <mergeCells count="3">
    <mergeCell ref="A1:B1"/>
    <mergeCell ref="E1:L1"/>
    <mergeCell ref="B3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53">
      <selection activeCell="L78" sqref="L78"/>
    </sheetView>
  </sheetViews>
  <sheetFormatPr defaultColWidth="9.140625" defaultRowHeight="15"/>
  <cols>
    <col min="1" max="1" width="3.421875" style="0" bestFit="1" customWidth="1"/>
    <col min="2" max="2" width="35.57421875" style="0" bestFit="1" customWidth="1"/>
    <col min="3" max="3" width="4.421875" style="0" bestFit="1" customWidth="1"/>
    <col min="4" max="7" width="11.7109375" style="0" customWidth="1"/>
    <col min="8" max="8" width="11.7109375" style="397" customWidth="1"/>
    <col min="9" max="10" width="11.7109375" style="0" customWidth="1"/>
  </cols>
  <sheetData>
    <row r="1" spans="1:10" ht="25.5">
      <c r="A1" s="290" t="s">
        <v>292</v>
      </c>
      <c r="B1" s="290" t="s">
        <v>17</v>
      </c>
      <c r="C1" s="290" t="s">
        <v>254</v>
      </c>
      <c r="D1" s="367" t="s">
        <v>534</v>
      </c>
      <c r="E1" s="367" t="s">
        <v>535</v>
      </c>
      <c r="F1" s="367" t="s">
        <v>536</v>
      </c>
      <c r="G1" s="367" t="s">
        <v>537</v>
      </c>
      <c r="H1" s="414" t="s">
        <v>538</v>
      </c>
      <c r="I1" s="356" t="s">
        <v>525</v>
      </c>
      <c r="J1" s="398" t="s">
        <v>524</v>
      </c>
    </row>
    <row r="2" spans="1:10" ht="15">
      <c r="A2" s="39" t="s">
        <v>1</v>
      </c>
      <c r="B2" s="273" t="s">
        <v>526</v>
      </c>
      <c r="C2" s="274" t="s">
        <v>281</v>
      </c>
      <c r="D2" s="401" t="s">
        <v>437</v>
      </c>
      <c r="E2" s="401" t="s">
        <v>437</v>
      </c>
      <c r="F2" s="401" t="s">
        <v>437</v>
      </c>
      <c r="G2" s="403" t="s">
        <v>437</v>
      </c>
      <c r="H2" s="415" t="s">
        <v>437</v>
      </c>
      <c r="I2" s="352" t="s">
        <v>437</v>
      </c>
      <c r="J2" s="399" t="s">
        <v>437</v>
      </c>
    </row>
    <row r="3" spans="1:10" ht="15">
      <c r="A3" s="39" t="s">
        <v>2</v>
      </c>
      <c r="B3" s="35" t="s">
        <v>341</v>
      </c>
      <c r="C3" s="36" t="s">
        <v>155</v>
      </c>
      <c r="D3" s="401"/>
      <c r="E3" s="401"/>
      <c r="F3" s="401"/>
      <c r="G3" s="403"/>
      <c r="H3" s="415"/>
      <c r="I3" s="410"/>
      <c r="J3" s="400"/>
    </row>
    <row r="4" spans="1:10" ht="15">
      <c r="A4" s="39" t="s">
        <v>3</v>
      </c>
      <c r="B4" s="35" t="s">
        <v>329</v>
      </c>
      <c r="C4" s="36" t="s">
        <v>193</v>
      </c>
      <c r="D4" s="401"/>
      <c r="E4" s="401"/>
      <c r="F4" s="401"/>
      <c r="G4" s="403"/>
      <c r="H4" s="415"/>
      <c r="I4" s="351"/>
      <c r="J4" s="399"/>
    </row>
    <row r="5" spans="1:10" ht="15">
      <c r="A5" s="39" t="s">
        <v>4</v>
      </c>
      <c r="B5" s="35" t="s">
        <v>495</v>
      </c>
      <c r="C5" s="36" t="s">
        <v>31</v>
      </c>
      <c r="D5" s="401"/>
      <c r="E5" s="401"/>
      <c r="F5" s="401"/>
      <c r="G5" s="403"/>
      <c r="H5" s="415"/>
      <c r="I5" s="351"/>
      <c r="J5" s="399"/>
    </row>
    <row r="6" spans="1:10" ht="15">
      <c r="A6" s="39" t="s">
        <v>5</v>
      </c>
      <c r="B6" s="273" t="s">
        <v>554</v>
      </c>
      <c r="C6" s="387">
        <v>226</v>
      </c>
      <c r="D6" s="401"/>
      <c r="E6" s="401"/>
      <c r="F6" s="402"/>
      <c r="G6" s="405"/>
      <c r="H6" s="405"/>
      <c r="I6" s="390"/>
      <c r="J6" s="399"/>
    </row>
    <row r="7" spans="1:10" ht="15">
      <c r="A7" s="39" t="s">
        <v>6</v>
      </c>
      <c r="B7" s="35" t="s">
        <v>513</v>
      </c>
      <c r="C7" s="118">
        <v>172</v>
      </c>
      <c r="D7" s="401"/>
      <c r="E7" s="401"/>
      <c r="F7" s="401"/>
      <c r="G7" s="403"/>
      <c r="H7" s="415"/>
      <c r="I7" s="410"/>
      <c r="J7" s="399"/>
    </row>
    <row r="8" spans="1:10" ht="15">
      <c r="A8" s="39" t="s">
        <v>7</v>
      </c>
      <c r="B8" s="35" t="s">
        <v>539</v>
      </c>
      <c r="C8" s="36" t="s">
        <v>124</v>
      </c>
      <c r="D8" s="401"/>
      <c r="E8" s="401"/>
      <c r="F8" s="401"/>
      <c r="G8" s="403"/>
      <c r="H8" s="415"/>
      <c r="I8" s="351"/>
      <c r="J8" s="399"/>
    </row>
    <row r="9" spans="1:10" ht="15">
      <c r="A9" s="39" t="s">
        <v>8</v>
      </c>
      <c r="B9" s="35" t="s">
        <v>555</v>
      </c>
      <c r="C9" s="36" t="s">
        <v>103</v>
      </c>
      <c r="D9" s="401"/>
      <c r="E9" s="401"/>
      <c r="F9" s="401"/>
      <c r="G9" s="403"/>
      <c r="H9" s="415"/>
      <c r="I9" s="351"/>
      <c r="J9" s="399"/>
    </row>
    <row r="10" spans="1:10" ht="15">
      <c r="A10" s="39" t="s">
        <v>9</v>
      </c>
      <c r="B10" s="35" t="s">
        <v>540</v>
      </c>
      <c r="C10" s="36" t="s">
        <v>53</v>
      </c>
      <c r="D10" s="401"/>
      <c r="E10" s="401"/>
      <c r="F10" s="401"/>
      <c r="G10" s="403"/>
      <c r="H10" s="415"/>
      <c r="I10" s="410"/>
      <c r="J10" s="399"/>
    </row>
    <row r="11" spans="1:10" ht="15">
      <c r="A11" s="39" t="s">
        <v>30</v>
      </c>
      <c r="B11" s="35" t="s">
        <v>311</v>
      </c>
      <c r="C11" s="36" t="s">
        <v>241</v>
      </c>
      <c r="D11" s="401"/>
      <c r="E11" s="401"/>
      <c r="F11" s="401"/>
      <c r="G11" s="403"/>
      <c r="H11" s="415"/>
      <c r="I11" s="351"/>
      <c r="J11" s="399"/>
    </row>
    <row r="12" spans="1:10" ht="15">
      <c r="A12" s="39" t="s">
        <v>10</v>
      </c>
      <c r="B12" s="35" t="s">
        <v>350</v>
      </c>
      <c r="C12" s="36" t="s">
        <v>127</v>
      </c>
      <c r="D12" s="401"/>
      <c r="E12" s="401"/>
      <c r="F12" s="401"/>
      <c r="G12" s="403"/>
      <c r="H12" s="415"/>
      <c r="I12" s="351"/>
      <c r="J12" s="399"/>
    </row>
    <row r="13" spans="1:10" ht="15">
      <c r="A13" s="39" t="s">
        <v>11</v>
      </c>
      <c r="B13" s="35" t="s">
        <v>541</v>
      </c>
      <c r="C13" s="36" t="s">
        <v>243</v>
      </c>
      <c r="D13" s="401"/>
      <c r="E13" s="401"/>
      <c r="F13" s="401"/>
      <c r="G13" s="403"/>
      <c r="H13" s="415"/>
      <c r="I13" s="351"/>
      <c r="J13" s="399"/>
    </row>
    <row r="14" spans="1:10" ht="15">
      <c r="A14" s="39" t="s">
        <v>12</v>
      </c>
      <c r="B14" s="35" t="s">
        <v>511</v>
      </c>
      <c r="C14" s="118">
        <v>221</v>
      </c>
      <c r="D14" s="401"/>
      <c r="E14" s="401"/>
      <c r="F14" s="401"/>
      <c r="G14" s="403"/>
      <c r="H14" s="415"/>
      <c r="I14" s="410"/>
      <c r="J14" s="399"/>
    </row>
    <row r="15" spans="1:10" ht="15">
      <c r="A15" s="39" t="s">
        <v>13</v>
      </c>
      <c r="B15" s="35" t="s">
        <v>542</v>
      </c>
      <c r="C15" s="36" t="s">
        <v>109</v>
      </c>
      <c r="D15" s="401"/>
      <c r="E15" s="401"/>
      <c r="F15" s="401"/>
      <c r="G15" s="403"/>
      <c r="H15" s="415"/>
      <c r="I15" s="410"/>
      <c r="J15" s="399"/>
    </row>
    <row r="16" spans="1:10" ht="15">
      <c r="A16" s="39" t="s">
        <v>14</v>
      </c>
      <c r="B16" s="35" t="s">
        <v>496</v>
      </c>
      <c r="C16" s="36" t="s">
        <v>32</v>
      </c>
      <c r="D16" s="401"/>
      <c r="E16" s="401"/>
      <c r="F16" s="401"/>
      <c r="G16" s="403"/>
      <c r="H16" s="415"/>
      <c r="I16" s="351"/>
      <c r="J16" s="399"/>
    </row>
    <row r="17" spans="1:10" ht="15">
      <c r="A17" s="39" t="s">
        <v>15</v>
      </c>
      <c r="B17" s="35" t="s">
        <v>362</v>
      </c>
      <c r="C17" s="36" t="s">
        <v>88</v>
      </c>
      <c r="D17" s="401"/>
      <c r="E17" s="401"/>
      <c r="F17" s="401"/>
      <c r="G17" s="403"/>
      <c r="H17" s="415"/>
      <c r="I17" s="351"/>
      <c r="J17" s="399"/>
    </row>
    <row r="18" spans="1:10" ht="15">
      <c r="A18" s="39" t="s">
        <v>16</v>
      </c>
      <c r="B18" s="35" t="s">
        <v>508</v>
      </c>
      <c r="C18" s="36" t="s">
        <v>172</v>
      </c>
      <c r="D18" s="401"/>
      <c r="E18" s="401"/>
      <c r="F18" s="401"/>
      <c r="G18" s="403"/>
      <c r="H18" s="415"/>
      <c r="I18" s="351"/>
      <c r="J18" s="399"/>
    </row>
    <row r="19" spans="1:10" ht="15">
      <c r="A19" s="39" t="s">
        <v>58</v>
      </c>
      <c r="B19" s="35" t="s">
        <v>556</v>
      </c>
      <c r="C19" s="36" t="s">
        <v>557</v>
      </c>
      <c r="D19" s="401"/>
      <c r="E19" s="401"/>
      <c r="F19" s="401"/>
      <c r="G19" s="403"/>
      <c r="H19" s="415"/>
      <c r="I19" s="351"/>
      <c r="J19" s="399"/>
    </row>
    <row r="20" spans="1:10" ht="15">
      <c r="A20" s="39" t="s">
        <v>61</v>
      </c>
      <c r="B20" s="35" t="s">
        <v>357</v>
      </c>
      <c r="C20" s="36" t="s">
        <v>106</v>
      </c>
      <c r="D20" s="401"/>
      <c r="E20" s="401"/>
      <c r="F20" s="401"/>
      <c r="G20" s="403"/>
      <c r="H20" s="415"/>
      <c r="I20" s="351"/>
      <c r="J20" s="399"/>
    </row>
    <row r="21" spans="1:10" ht="15">
      <c r="A21" s="39" t="s">
        <v>63</v>
      </c>
      <c r="B21" s="35" t="s">
        <v>543</v>
      </c>
      <c r="C21" s="36" t="s">
        <v>245</v>
      </c>
      <c r="D21" s="401"/>
      <c r="E21" s="401"/>
      <c r="F21" s="401"/>
      <c r="G21" s="403"/>
      <c r="H21" s="415"/>
      <c r="I21" s="410"/>
      <c r="J21" s="399"/>
    </row>
    <row r="22" spans="1:10" ht="15">
      <c r="A22" s="39" t="s">
        <v>66</v>
      </c>
      <c r="B22" s="35" t="s">
        <v>315</v>
      </c>
      <c r="C22" s="36" t="s">
        <v>233</v>
      </c>
      <c r="D22" s="401"/>
      <c r="E22" s="401"/>
      <c r="F22" s="401"/>
      <c r="G22" s="403"/>
      <c r="H22" s="415"/>
      <c r="I22" s="351"/>
      <c r="J22" s="399"/>
    </row>
    <row r="23" spans="1:10" ht="15">
      <c r="A23" s="39" t="s">
        <v>69</v>
      </c>
      <c r="B23" s="35" t="s">
        <v>510</v>
      </c>
      <c r="C23" s="118">
        <v>209</v>
      </c>
      <c r="D23" s="401"/>
      <c r="E23" s="401"/>
      <c r="F23" s="401"/>
      <c r="G23" s="403"/>
      <c r="H23" s="415"/>
      <c r="I23" s="410"/>
      <c r="J23" s="399"/>
    </row>
    <row r="24" spans="1:10" ht="15">
      <c r="A24" s="39" t="s">
        <v>72</v>
      </c>
      <c r="B24" s="35" t="s">
        <v>528</v>
      </c>
      <c r="C24" s="36" t="s">
        <v>100</v>
      </c>
      <c r="D24" s="401"/>
      <c r="E24" s="401"/>
      <c r="F24" s="401"/>
      <c r="G24" s="403"/>
      <c r="H24" s="415"/>
      <c r="I24" s="351"/>
      <c r="J24" s="399"/>
    </row>
    <row r="25" spans="1:10" ht="15">
      <c r="A25" s="39" t="s">
        <v>75</v>
      </c>
      <c r="B25" s="35" t="s">
        <v>503</v>
      </c>
      <c r="C25" s="36" t="s">
        <v>139</v>
      </c>
      <c r="D25" s="401"/>
      <c r="E25" s="401"/>
      <c r="F25" s="401"/>
      <c r="G25" s="403"/>
      <c r="H25" s="415"/>
      <c r="I25" s="351"/>
      <c r="J25" s="399"/>
    </row>
    <row r="26" spans="1:10" ht="15">
      <c r="A26" s="39" t="s">
        <v>77</v>
      </c>
      <c r="B26" s="273" t="s">
        <v>544</v>
      </c>
      <c r="C26" s="274" t="s">
        <v>211</v>
      </c>
      <c r="D26" s="401"/>
      <c r="E26" s="401"/>
      <c r="F26" s="401"/>
      <c r="G26" s="403"/>
      <c r="H26" s="415"/>
      <c r="I26" s="351"/>
      <c r="J26" s="399"/>
    </row>
    <row r="27" spans="1:10" ht="15">
      <c r="A27" s="39" t="s">
        <v>80</v>
      </c>
      <c r="B27" s="273" t="s">
        <v>494</v>
      </c>
      <c r="C27" s="274" t="s">
        <v>407</v>
      </c>
      <c r="D27" s="401"/>
      <c r="E27" s="401"/>
      <c r="F27" s="401"/>
      <c r="G27" s="403"/>
      <c r="H27" s="403"/>
      <c r="I27" s="351"/>
      <c r="J27" s="399"/>
    </row>
    <row r="28" spans="1:10" ht="15">
      <c r="A28" s="39" t="s">
        <v>83</v>
      </c>
      <c r="B28" s="35" t="s">
        <v>512</v>
      </c>
      <c r="C28" s="118">
        <v>223</v>
      </c>
      <c r="D28" s="401"/>
      <c r="E28" s="401"/>
      <c r="F28" s="401"/>
      <c r="G28" s="403"/>
      <c r="H28" s="415"/>
      <c r="I28" s="410"/>
      <c r="J28" s="399"/>
    </row>
    <row r="29" spans="1:10" ht="15">
      <c r="A29" s="39" t="s">
        <v>86</v>
      </c>
      <c r="B29" s="35" t="s">
        <v>343</v>
      </c>
      <c r="C29" s="36" t="s">
        <v>149</v>
      </c>
      <c r="D29" s="401"/>
      <c r="E29" s="401"/>
      <c r="F29" s="401"/>
      <c r="G29" s="403"/>
      <c r="H29" s="415"/>
      <c r="I29" s="351"/>
      <c r="J29" s="399"/>
    </row>
    <row r="30" spans="1:10" ht="15">
      <c r="A30" s="290" t="s">
        <v>292</v>
      </c>
      <c r="B30" s="290" t="s">
        <v>17</v>
      </c>
      <c r="C30" s="290" t="s">
        <v>254</v>
      </c>
      <c r="D30" s="367"/>
      <c r="E30" s="367"/>
      <c r="F30" s="367"/>
      <c r="G30" s="367"/>
      <c r="H30" s="414"/>
      <c r="I30" s="356"/>
      <c r="J30" s="398"/>
    </row>
    <row r="31" spans="1:10" ht="15">
      <c r="A31" s="39" t="s">
        <v>89</v>
      </c>
      <c r="B31" s="35" t="s">
        <v>336</v>
      </c>
      <c r="C31" s="36" t="s">
        <v>169</v>
      </c>
      <c r="D31" s="401"/>
      <c r="E31" s="401"/>
      <c r="F31" s="401"/>
      <c r="G31" s="403"/>
      <c r="H31" s="415"/>
      <c r="I31" s="351"/>
      <c r="J31" s="399"/>
    </row>
    <row r="32" spans="1:10" ht="15">
      <c r="A32" s="39" t="s">
        <v>92</v>
      </c>
      <c r="B32" s="35" t="s">
        <v>384</v>
      </c>
      <c r="C32" s="36" t="s">
        <v>35</v>
      </c>
      <c r="D32" s="401"/>
      <c r="E32" s="401"/>
      <c r="F32" s="401"/>
      <c r="G32" s="403"/>
      <c r="H32" s="415"/>
      <c r="I32" s="351"/>
      <c r="J32" s="399"/>
    </row>
    <row r="33" spans="1:10" ht="15">
      <c r="A33" s="39" t="s">
        <v>93</v>
      </c>
      <c r="B33" s="35" t="s">
        <v>308</v>
      </c>
      <c r="C33" s="36" t="s">
        <v>249</v>
      </c>
      <c r="D33" s="401"/>
      <c r="E33" s="401"/>
      <c r="F33" s="401"/>
      <c r="G33" s="403"/>
      <c r="H33" s="415"/>
      <c r="I33" s="410"/>
      <c r="J33" s="399"/>
    </row>
    <row r="34" spans="1:10" ht="15">
      <c r="A34" s="39" t="s">
        <v>96</v>
      </c>
      <c r="B34" s="35" t="s">
        <v>367</v>
      </c>
      <c r="C34" s="36" t="s">
        <v>74</v>
      </c>
      <c r="D34" s="401"/>
      <c r="E34" s="401"/>
      <c r="F34" s="401"/>
      <c r="G34" s="403"/>
      <c r="H34" s="415"/>
      <c r="I34" s="351"/>
      <c r="J34" s="399"/>
    </row>
    <row r="35" spans="1:10" ht="15">
      <c r="A35" s="39" t="s">
        <v>98</v>
      </c>
      <c r="B35" s="35" t="s">
        <v>354</v>
      </c>
      <c r="C35" s="36" t="s">
        <v>115</v>
      </c>
      <c r="D35" s="401"/>
      <c r="E35" s="401"/>
      <c r="F35" s="401"/>
      <c r="G35" s="403"/>
      <c r="H35" s="415"/>
      <c r="I35" s="351"/>
      <c r="J35" s="399"/>
    </row>
    <row r="36" spans="1:10" ht="15">
      <c r="A36" s="39" t="s">
        <v>101</v>
      </c>
      <c r="B36" s="35" t="s">
        <v>553</v>
      </c>
      <c r="C36" s="36" t="s">
        <v>163</v>
      </c>
      <c r="D36" s="401"/>
      <c r="E36" s="401"/>
      <c r="F36" s="401"/>
      <c r="G36" s="403"/>
      <c r="H36" s="415"/>
      <c r="I36" s="351"/>
      <c r="J36" s="399"/>
    </row>
    <row r="37" spans="1:10" ht="15">
      <c r="A37" s="39" t="s">
        <v>104</v>
      </c>
      <c r="B37" s="35" t="s">
        <v>383</v>
      </c>
      <c r="C37" s="36" t="s">
        <v>37</v>
      </c>
      <c r="D37" s="401"/>
      <c r="E37" s="401"/>
      <c r="F37" s="401"/>
      <c r="G37" s="403"/>
      <c r="H37" s="415"/>
      <c r="I37" s="351"/>
      <c r="J37" s="399"/>
    </row>
    <row r="38" spans="1:10" ht="15">
      <c r="A38" s="39" t="s">
        <v>107</v>
      </c>
      <c r="B38" s="35" t="s">
        <v>328</v>
      </c>
      <c r="C38" s="36" t="s">
        <v>196</v>
      </c>
      <c r="D38" s="401"/>
      <c r="E38" s="401"/>
      <c r="F38" s="401"/>
      <c r="G38" s="403"/>
      <c r="H38" s="415"/>
      <c r="I38" s="351"/>
      <c r="J38" s="399"/>
    </row>
    <row r="39" spans="1:10" ht="15">
      <c r="A39" s="39" t="s">
        <v>110</v>
      </c>
      <c r="B39" s="35" t="s">
        <v>505</v>
      </c>
      <c r="C39" s="36" t="s">
        <v>130</v>
      </c>
      <c r="D39" s="401"/>
      <c r="E39" s="401"/>
      <c r="F39" s="401"/>
      <c r="G39" s="403"/>
      <c r="H39" s="415"/>
      <c r="I39" s="351"/>
      <c r="J39" s="399"/>
    </row>
    <row r="40" spans="1:10" ht="15">
      <c r="A40" s="39" t="s">
        <v>113</v>
      </c>
      <c r="B40" s="35" t="s">
        <v>368</v>
      </c>
      <c r="C40" s="36" t="s">
        <v>71</v>
      </c>
      <c r="D40" s="401"/>
      <c r="E40" s="401"/>
      <c r="F40" s="401"/>
      <c r="G40" s="403"/>
      <c r="H40" s="415"/>
      <c r="I40" s="410"/>
      <c r="J40" s="399"/>
    </row>
    <row r="41" spans="1:10" ht="15">
      <c r="A41" s="39" t="s">
        <v>116</v>
      </c>
      <c r="B41" s="35" t="s">
        <v>529</v>
      </c>
      <c r="C41" s="36" t="s">
        <v>430</v>
      </c>
      <c r="D41" s="401"/>
      <c r="E41" s="401"/>
      <c r="F41" s="401"/>
      <c r="G41" s="403"/>
      <c r="H41" s="415"/>
      <c r="I41" s="351"/>
      <c r="J41" s="399"/>
    </row>
    <row r="42" spans="1:10" ht="15">
      <c r="A42" s="39" t="s">
        <v>119</v>
      </c>
      <c r="B42" s="35" t="s">
        <v>381</v>
      </c>
      <c r="C42" s="36" t="s">
        <v>41</v>
      </c>
      <c r="D42" s="401"/>
      <c r="E42" s="401"/>
      <c r="F42" s="401"/>
      <c r="G42" s="403"/>
      <c r="H42" s="415"/>
      <c r="I42" s="351"/>
      <c r="J42" s="399"/>
    </row>
    <row r="43" spans="1:10" ht="15">
      <c r="A43" s="39" t="s">
        <v>122</v>
      </c>
      <c r="B43" s="35" t="s">
        <v>530</v>
      </c>
      <c r="C43" s="36" t="s">
        <v>52</v>
      </c>
      <c r="D43" s="401"/>
      <c r="E43" s="401"/>
      <c r="F43" s="401"/>
      <c r="G43" s="403"/>
      <c r="H43" s="415"/>
      <c r="I43" s="351"/>
      <c r="J43" s="399"/>
    </row>
    <row r="44" spans="1:10" ht="15">
      <c r="A44" s="39" t="s">
        <v>125</v>
      </c>
      <c r="B44" s="35" t="s">
        <v>499</v>
      </c>
      <c r="C44" s="36" t="s">
        <v>429</v>
      </c>
      <c r="D44" s="401"/>
      <c r="E44" s="401"/>
      <c r="F44" s="401"/>
      <c r="G44" s="403"/>
      <c r="H44" s="415"/>
      <c r="I44" s="351"/>
      <c r="J44" s="399"/>
    </row>
    <row r="45" spans="1:10" ht="15">
      <c r="A45" s="39" t="s">
        <v>128</v>
      </c>
      <c r="B45" s="35" t="s">
        <v>378</v>
      </c>
      <c r="C45" s="36" t="s">
        <v>46</v>
      </c>
      <c r="D45" s="401"/>
      <c r="E45" s="401"/>
      <c r="F45" s="401"/>
      <c r="G45" s="403"/>
      <c r="H45" s="415"/>
      <c r="I45" s="410"/>
      <c r="J45" s="399"/>
    </row>
    <row r="46" spans="1:10" ht="15">
      <c r="A46" s="39" t="s">
        <v>131</v>
      </c>
      <c r="B46" s="35" t="s">
        <v>545</v>
      </c>
      <c r="C46" s="36" t="s">
        <v>181</v>
      </c>
      <c r="D46" s="401"/>
      <c r="E46" s="401"/>
      <c r="F46" s="401"/>
      <c r="G46" s="403"/>
      <c r="H46" s="415"/>
      <c r="I46" s="351"/>
      <c r="J46" s="399"/>
    </row>
    <row r="47" spans="1:10" ht="15">
      <c r="A47" s="39" t="s">
        <v>134</v>
      </c>
      <c r="B47" s="35" t="s">
        <v>382</v>
      </c>
      <c r="C47" s="36" t="s">
        <v>39</v>
      </c>
      <c r="D47" s="401"/>
      <c r="E47" s="401"/>
      <c r="F47" s="401"/>
      <c r="G47" s="403"/>
      <c r="H47" s="415"/>
      <c r="I47" s="351"/>
      <c r="J47" s="399"/>
    </row>
    <row r="48" spans="1:10" ht="15">
      <c r="A48" s="39" t="s">
        <v>137</v>
      </c>
      <c r="B48" s="35" t="s">
        <v>330</v>
      </c>
      <c r="C48" s="36" t="s">
        <v>190</v>
      </c>
      <c r="D48" s="401"/>
      <c r="E48" s="401"/>
      <c r="F48" s="401"/>
      <c r="G48" s="403"/>
      <c r="H48" s="415"/>
      <c r="I48" s="351"/>
      <c r="J48" s="399"/>
    </row>
    <row r="49" spans="1:10" ht="15">
      <c r="A49" s="39" t="s">
        <v>140</v>
      </c>
      <c r="B49" s="35" t="s">
        <v>546</v>
      </c>
      <c r="C49" s="36" t="s">
        <v>184</v>
      </c>
      <c r="D49" s="401"/>
      <c r="E49" s="401"/>
      <c r="F49" s="401"/>
      <c r="G49" s="403"/>
      <c r="H49" s="403"/>
      <c r="I49" s="351"/>
      <c r="J49" s="399"/>
    </row>
    <row r="50" spans="1:10" ht="15">
      <c r="A50" s="39" t="s">
        <v>143</v>
      </c>
      <c r="B50" s="35" t="s">
        <v>364</v>
      </c>
      <c r="C50" s="36" t="s">
        <v>82</v>
      </c>
      <c r="D50" s="401"/>
      <c r="E50" s="401"/>
      <c r="F50" s="401"/>
      <c r="G50" s="403"/>
      <c r="H50" s="415"/>
      <c r="I50" s="351"/>
      <c r="J50" s="399"/>
    </row>
    <row r="51" spans="1:10" ht="15">
      <c r="A51" s="39" t="s">
        <v>144</v>
      </c>
      <c r="B51" s="35" t="s">
        <v>365</v>
      </c>
      <c r="C51" s="36" t="s">
        <v>79</v>
      </c>
      <c r="D51" s="401"/>
      <c r="E51" s="401"/>
      <c r="F51" s="401"/>
      <c r="G51" s="403"/>
      <c r="H51" s="415"/>
      <c r="I51" s="351"/>
      <c r="J51" s="399"/>
    </row>
    <row r="52" spans="1:10" ht="15">
      <c r="A52" s="39" t="s">
        <v>147</v>
      </c>
      <c r="B52" s="35" t="s">
        <v>309</v>
      </c>
      <c r="C52" s="36" t="s">
        <v>247</v>
      </c>
      <c r="D52" s="401"/>
      <c r="E52" s="401"/>
      <c r="F52" s="401"/>
      <c r="G52" s="403"/>
      <c r="H52" s="415"/>
      <c r="I52" s="351"/>
      <c r="J52" s="399"/>
    </row>
    <row r="53" spans="1:10" ht="15">
      <c r="A53" s="39" t="s">
        <v>150</v>
      </c>
      <c r="B53" s="273" t="s">
        <v>376</v>
      </c>
      <c r="C53" s="274" t="s">
        <v>50</v>
      </c>
      <c r="D53" s="401"/>
      <c r="E53" s="401"/>
      <c r="F53" s="401"/>
      <c r="G53" s="403"/>
      <c r="H53" s="415"/>
      <c r="I53" s="352"/>
      <c r="J53" s="399"/>
    </row>
    <row r="54" spans="1:10" ht="15">
      <c r="A54" s="39" t="s">
        <v>153</v>
      </c>
      <c r="B54" s="35" t="s">
        <v>369</v>
      </c>
      <c r="C54" s="36" t="s">
        <v>68</v>
      </c>
      <c r="D54" s="401"/>
      <c r="E54" s="401"/>
      <c r="F54" s="401"/>
      <c r="G54" s="403"/>
      <c r="H54" s="415"/>
      <c r="I54" s="351"/>
      <c r="J54" s="399"/>
    </row>
    <row r="55" spans="1:10" ht="15">
      <c r="A55" s="39" t="s">
        <v>156</v>
      </c>
      <c r="B55" s="35" t="s">
        <v>321</v>
      </c>
      <c r="C55" s="36" t="s">
        <v>217</v>
      </c>
      <c r="D55" s="401"/>
      <c r="E55" s="401"/>
      <c r="F55" s="401"/>
      <c r="G55" s="403"/>
      <c r="H55" s="415"/>
      <c r="I55" s="351"/>
      <c r="J55" s="399"/>
    </row>
    <row r="56" spans="1:10" ht="15">
      <c r="A56" s="39" t="s">
        <v>157</v>
      </c>
      <c r="B56" s="35" t="s">
        <v>337</v>
      </c>
      <c r="C56" s="36" t="s">
        <v>166</v>
      </c>
      <c r="D56" s="401"/>
      <c r="E56" s="401"/>
      <c r="F56" s="401"/>
      <c r="G56" s="403"/>
      <c r="H56" s="403"/>
      <c r="I56" s="351"/>
      <c r="J56" s="399"/>
    </row>
    <row r="57" spans="1:10" ht="15">
      <c r="A57" s="39" t="s">
        <v>160</v>
      </c>
      <c r="B57" s="35" t="s">
        <v>377</v>
      </c>
      <c r="C57" s="36" t="s">
        <v>48</v>
      </c>
      <c r="D57" s="401"/>
      <c r="E57" s="401"/>
      <c r="F57" s="401"/>
      <c r="G57" s="403"/>
      <c r="H57" s="415"/>
      <c r="I57" s="351"/>
      <c r="J57" s="399"/>
    </row>
    <row r="58" spans="1:10" ht="15">
      <c r="A58" s="39" t="s">
        <v>161</v>
      </c>
      <c r="B58" s="35" t="s">
        <v>509</v>
      </c>
      <c r="C58" s="36" t="s">
        <v>208</v>
      </c>
      <c r="D58" s="401"/>
      <c r="E58" s="401"/>
      <c r="F58" s="401"/>
      <c r="G58" s="403"/>
      <c r="H58" s="415"/>
      <c r="I58" s="351"/>
      <c r="J58" s="399"/>
    </row>
    <row r="59" spans="1:10" ht="25.5">
      <c r="A59" s="290" t="s">
        <v>292</v>
      </c>
      <c r="B59" s="290" t="s">
        <v>17</v>
      </c>
      <c r="C59" s="290" t="s">
        <v>254</v>
      </c>
      <c r="D59" s="367" t="s">
        <v>534</v>
      </c>
      <c r="E59" s="367"/>
      <c r="F59" s="367"/>
      <c r="G59" s="367"/>
      <c r="H59" s="414" t="s">
        <v>538</v>
      </c>
      <c r="I59" s="356" t="s">
        <v>525</v>
      </c>
      <c r="J59" s="398" t="s">
        <v>524</v>
      </c>
    </row>
    <row r="60" spans="1:10" ht="15">
      <c r="A60" s="39" t="s">
        <v>164</v>
      </c>
      <c r="B60" s="35" t="s">
        <v>327</v>
      </c>
      <c r="C60" s="36" t="s">
        <v>199</v>
      </c>
      <c r="D60" s="401"/>
      <c r="E60" s="401"/>
      <c r="F60" s="401"/>
      <c r="G60" s="403"/>
      <c r="H60" s="403"/>
      <c r="I60" s="351"/>
      <c r="J60" s="399"/>
    </row>
    <row r="61" spans="1:10" ht="15">
      <c r="A61" s="39" t="s">
        <v>167</v>
      </c>
      <c r="B61" s="35" t="s">
        <v>547</v>
      </c>
      <c r="C61" s="36" t="s">
        <v>231</v>
      </c>
      <c r="D61" s="401"/>
      <c r="E61" s="401"/>
      <c r="F61" s="401"/>
      <c r="G61" s="403"/>
      <c r="H61" s="403"/>
      <c r="I61" s="351"/>
      <c r="J61" s="399"/>
    </row>
    <row r="62" spans="1:10" ht="15">
      <c r="A62" s="39" t="s">
        <v>170</v>
      </c>
      <c r="B62" s="35" t="s">
        <v>344</v>
      </c>
      <c r="C62" s="36" t="s">
        <v>146</v>
      </c>
      <c r="D62" s="401"/>
      <c r="E62" s="401"/>
      <c r="F62" s="401"/>
      <c r="G62" s="403"/>
      <c r="H62" s="415"/>
      <c r="I62" s="351"/>
      <c r="J62" s="399"/>
    </row>
    <row r="63" spans="1:10" ht="15">
      <c r="A63" s="39" t="s">
        <v>173</v>
      </c>
      <c r="B63" s="35" t="s">
        <v>348</v>
      </c>
      <c r="C63" s="36" t="s">
        <v>133</v>
      </c>
      <c r="D63" s="401"/>
      <c r="E63" s="401"/>
      <c r="F63" s="401"/>
      <c r="G63" s="403"/>
      <c r="H63" s="415"/>
      <c r="I63" s="351"/>
      <c r="J63" s="399"/>
    </row>
    <row r="64" spans="1:10" ht="15">
      <c r="A64" s="39" t="s">
        <v>176</v>
      </c>
      <c r="B64" s="35" t="s">
        <v>347</v>
      </c>
      <c r="C64" s="36" t="s">
        <v>136</v>
      </c>
      <c r="D64" s="401"/>
      <c r="E64" s="401"/>
      <c r="F64" s="401"/>
      <c r="G64" s="403"/>
      <c r="H64" s="415"/>
      <c r="I64" s="351"/>
      <c r="J64" s="399"/>
    </row>
    <row r="65" spans="1:10" ht="15">
      <c r="A65" s="39" t="s">
        <v>179</v>
      </c>
      <c r="B65" s="35" t="s">
        <v>501</v>
      </c>
      <c r="C65" s="36" t="s">
        <v>112</v>
      </c>
      <c r="D65" s="401"/>
      <c r="E65" s="401"/>
      <c r="F65" s="401"/>
      <c r="G65" s="403"/>
      <c r="H65" s="415"/>
      <c r="I65" s="351"/>
      <c r="J65" s="399"/>
    </row>
    <row r="66" spans="1:10" ht="15">
      <c r="A66" s="39" t="s">
        <v>182</v>
      </c>
      <c r="B66" s="35" t="s">
        <v>493</v>
      </c>
      <c r="C66" s="36" t="s">
        <v>225</v>
      </c>
      <c r="D66" s="401"/>
      <c r="E66" s="401"/>
      <c r="F66" s="401"/>
      <c r="G66" s="403"/>
      <c r="H66" s="403"/>
      <c r="I66" s="351"/>
      <c r="J66" s="399"/>
    </row>
    <row r="67" spans="1:10" ht="15">
      <c r="A67" s="39" t="s">
        <v>185</v>
      </c>
      <c r="B67" s="273" t="s">
        <v>548</v>
      </c>
      <c r="C67" s="274" t="s">
        <v>434</v>
      </c>
      <c r="D67" s="401"/>
      <c r="E67" s="401"/>
      <c r="F67" s="401"/>
      <c r="G67" s="403"/>
      <c r="H67" s="415"/>
      <c r="I67" s="352"/>
      <c r="J67" s="399"/>
    </row>
    <row r="68" spans="1:10" ht="15">
      <c r="A68" s="39" t="s">
        <v>188</v>
      </c>
      <c r="B68" s="35" t="s">
        <v>549</v>
      </c>
      <c r="C68" s="36" t="s">
        <v>214</v>
      </c>
      <c r="D68" s="401"/>
      <c r="E68" s="401"/>
      <c r="F68" s="401"/>
      <c r="G68" s="403"/>
      <c r="H68" s="403"/>
      <c r="I68" s="351"/>
      <c r="J68" s="399"/>
    </row>
    <row r="69" spans="1:10" ht="15">
      <c r="A69" s="39" t="s">
        <v>191</v>
      </c>
      <c r="B69" s="35" t="s">
        <v>550</v>
      </c>
      <c r="C69" s="36" t="s">
        <v>202</v>
      </c>
      <c r="D69" s="401"/>
      <c r="E69" s="401"/>
      <c r="F69" s="401"/>
      <c r="G69" s="403"/>
      <c r="H69" s="403"/>
      <c r="I69" s="351"/>
      <c r="J69" s="399"/>
    </row>
    <row r="70" spans="1:10" ht="15">
      <c r="A70" s="39" t="s">
        <v>194</v>
      </c>
      <c r="B70" s="35" t="s">
        <v>359</v>
      </c>
      <c r="C70" s="36" t="s">
        <v>97</v>
      </c>
      <c r="D70" s="401"/>
      <c r="E70" s="401"/>
      <c r="F70" s="401"/>
      <c r="G70" s="403"/>
      <c r="H70" s="415"/>
      <c r="I70" s="351"/>
      <c r="J70" s="399"/>
    </row>
    <row r="71" spans="1:10" ht="15">
      <c r="A71" s="39" t="s">
        <v>197</v>
      </c>
      <c r="B71" s="35" t="s">
        <v>551</v>
      </c>
      <c r="C71" s="36" t="s">
        <v>237</v>
      </c>
      <c r="D71" s="401"/>
      <c r="E71" s="401"/>
      <c r="F71" s="401"/>
      <c r="G71" s="403"/>
      <c r="H71" s="403"/>
      <c r="I71" s="351"/>
      <c r="J71" s="399"/>
    </row>
    <row r="72" spans="1:10" ht="15">
      <c r="A72" s="39" t="s">
        <v>200</v>
      </c>
      <c r="B72" s="35" t="s">
        <v>379</v>
      </c>
      <c r="C72" s="36" t="s">
        <v>45</v>
      </c>
      <c r="D72" s="401"/>
      <c r="E72" s="401"/>
      <c r="F72" s="401"/>
      <c r="G72" s="403"/>
      <c r="H72" s="415"/>
      <c r="I72" s="351"/>
      <c r="J72" s="399"/>
    </row>
    <row r="73" spans="1:10" ht="15">
      <c r="A73" s="39" t="s">
        <v>203</v>
      </c>
      <c r="B73" s="273" t="s">
        <v>504</v>
      </c>
      <c r="C73" s="274" t="s">
        <v>440</v>
      </c>
      <c r="D73" s="401"/>
      <c r="E73" s="401"/>
      <c r="F73" s="401"/>
      <c r="G73" s="403"/>
      <c r="H73" s="415"/>
      <c r="I73" s="413"/>
      <c r="J73" s="399"/>
    </row>
    <row r="74" spans="1:10" ht="15">
      <c r="A74" s="39" t="s">
        <v>206</v>
      </c>
      <c r="B74" s="35" t="s">
        <v>498</v>
      </c>
      <c r="C74" s="36" t="s">
        <v>85</v>
      </c>
      <c r="D74" s="401"/>
      <c r="E74" s="401"/>
      <c r="F74" s="401"/>
      <c r="G74" s="403"/>
      <c r="H74" s="415"/>
      <c r="I74" s="351"/>
      <c r="J74" s="399"/>
    </row>
    <row r="75" spans="1:10" ht="15">
      <c r="A75" s="39" t="s">
        <v>209</v>
      </c>
      <c r="B75" s="35" t="s">
        <v>516</v>
      </c>
      <c r="C75" s="36" t="s">
        <v>222</v>
      </c>
      <c r="D75" s="401"/>
      <c r="E75" s="401"/>
      <c r="F75" s="401"/>
      <c r="G75" s="403"/>
      <c r="H75" s="415"/>
      <c r="I75" s="351"/>
      <c r="J75" s="399"/>
    </row>
    <row r="76" spans="1:10" ht="15">
      <c r="A76" s="39" t="s">
        <v>212</v>
      </c>
      <c r="B76" s="35" t="s">
        <v>497</v>
      </c>
      <c r="C76" s="36" t="s">
        <v>62</v>
      </c>
      <c r="D76" s="401"/>
      <c r="E76" s="401"/>
      <c r="F76" s="401"/>
      <c r="G76" s="403"/>
      <c r="H76" s="415"/>
      <c r="I76" s="351"/>
      <c r="J76" s="399"/>
    </row>
    <row r="77" spans="1:10" ht="15">
      <c r="A77" s="39" t="s">
        <v>215</v>
      </c>
      <c r="B77" s="35" t="s">
        <v>517</v>
      </c>
      <c r="C77" s="36" t="s">
        <v>76</v>
      </c>
      <c r="D77" s="401"/>
      <c r="E77" s="401"/>
      <c r="F77" s="401"/>
      <c r="G77" s="403"/>
      <c r="H77" s="415"/>
      <c r="I77" s="351"/>
      <c r="J77" s="399"/>
    </row>
    <row r="78" spans="1:10" ht="15">
      <c r="A78" s="39" t="s">
        <v>218</v>
      </c>
      <c r="B78" s="35" t="s">
        <v>518</v>
      </c>
      <c r="C78" s="118">
        <v>222</v>
      </c>
      <c r="D78" s="401"/>
      <c r="E78" s="401"/>
      <c r="F78" s="401"/>
      <c r="G78" s="403"/>
      <c r="H78" s="415"/>
      <c r="I78" s="351"/>
      <c r="J78" s="399"/>
    </row>
    <row r="79" spans="1:10" ht="15">
      <c r="A79" s="39" t="s">
        <v>219</v>
      </c>
      <c r="B79" s="35" t="s">
        <v>502</v>
      </c>
      <c r="C79" s="36" t="s">
        <v>118</v>
      </c>
      <c r="D79" s="401"/>
      <c r="E79" s="401"/>
      <c r="F79" s="401"/>
      <c r="G79" s="403"/>
      <c r="H79" s="415"/>
      <c r="I79" s="351"/>
      <c r="J79" s="399"/>
    </row>
    <row r="80" spans="1:10" ht="15">
      <c r="A80" s="39" t="s">
        <v>220</v>
      </c>
      <c r="B80" s="35" t="s">
        <v>552</v>
      </c>
      <c r="C80" s="118">
        <v>225</v>
      </c>
      <c r="D80" s="401"/>
      <c r="E80" s="401"/>
      <c r="F80" s="401"/>
      <c r="G80" s="403"/>
      <c r="H80" s="403"/>
      <c r="I80" s="351"/>
      <c r="J80" s="399"/>
    </row>
    <row r="81" spans="1:10" ht="15">
      <c r="A81" s="39" t="s">
        <v>223</v>
      </c>
      <c r="B81" s="35" t="s">
        <v>374</v>
      </c>
      <c r="C81" s="36" t="s">
        <v>55</v>
      </c>
      <c r="D81" s="401"/>
      <c r="E81" s="401"/>
      <c r="F81" s="401"/>
      <c r="G81" s="403"/>
      <c r="H81" s="415"/>
      <c r="I81" s="410"/>
      <c r="J81" s="399"/>
    </row>
    <row r="82" spans="1:10" ht="15">
      <c r="A82" s="39" t="s">
        <v>226</v>
      </c>
      <c r="B82" s="35" t="s">
        <v>370</v>
      </c>
      <c r="C82" s="36" t="s">
        <v>65</v>
      </c>
      <c r="D82" s="401"/>
      <c r="E82" s="401"/>
      <c r="F82" s="401"/>
      <c r="G82" s="403"/>
      <c r="H82" s="415"/>
      <c r="I82" s="351"/>
      <c r="J82" s="399"/>
    </row>
    <row r="83" spans="1:10" ht="15">
      <c r="A83" s="39" t="s">
        <v>229</v>
      </c>
      <c r="B83" s="35" t="s">
        <v>325</v>
      </c>
      <c r="C83" s="36" t="s">
        <v>205</v>
      </c>
      <c r="D83" s="401"/>
      <c r="E83" s="401"/>
      <c r="F83" s="401"/>
      <c r="G83" s="403"/>
      <c r="H83" s="415"/>
      <c r="I83" s="351"/>
      <c r="J83" s="399"/>
    </row>
    <row r="84" spans="1:10" ht="15">
      <c r="A84" s="39" t="s">
        <v>297</v>
      </c>
      <c r="B84" s="35" t="s">
        <v>352</v>
      </c>
      <c r="C84" s="36" t="s">
        <v>121</v>
      </c>
      <c r="D84" s="401"/>
      <c r="E84" s="401"/>
      <c r="F84" s="401"/>
      <c r="G84" s="403"/>
      <c r="H84" s="415"/>
      <c r="I84" s="351"/>
      <c r="J84" s="399" t="s">
        <v>437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S9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T42" sqref="T42"/>
    </sheetView>
  </sheetViews>
  <sheetFormatPr defaultColWidth="9.140625" defaultRowHeight="15"/>
  <cols>
    <col min="1" max="1" width="3.421875" style="28" customWidth="1"/>
    <col min="2" max="2" width="20.421875" style="28" customWidth="1"/>
    <col min="3" max="3" width="4.57421875" style="28" customWidth="1"/>
    <col min="4" max="4" width="6.7109375" style="156" customWidth="1"/>
    <col min="5" max="5" width="7.28125" style="238" customWidth="1"/>
    <col min="6" max="6" width="12.57421875" style="28" customWidth="1"/>
    <col min="7" max="7" width="12.57421875" style="331" customWidth="1"/>
    <col min="8" max="8" width="12.57421875" style="323" customWidth="1"/>
    <col min="9" max="9" width="12.57421875" style="28" hidden="1" customWidth="1"/>
    <col min="10" max="10" width="12.00390625" style="28" hidden="1" customWidth="1"/>
    <col min="11" max="12" width="13.7109375" style="28" hidden="1" customWidth="1"/>
    <col min="13" max="14" width="11.7109375" style="28" hidden="1" customWidth="1"/>
    <col min="15" max="15" width="9.57421875" style="105" hidden="1" customWidth="1"/>
    <col min="16" max="16" width="13.7109375" style="116" hidden="1" customWidth="1"/>
    <col min="17" max="17" width="12.57421875" style="115" customWidth="1"/>
    <col min="18" max="18" width="11.28125" style="343" customWidth="1"/>
    <col min="19" max="16384" width="9.140625" style="28" customWidth="1"/>
  </cols>
  <sheetData>
    <row r="2" spans="1:4" ht="12.75">
      <c r="A2" s="342" t="s">
        <v>417</v>
      </c>
      <c r="B2" s="342"/>
      <c r="C2" s="279"/>
      <c r="D2" s="349"/>
    </row>
    <row r="3" ht="11.25" customHeight="1">
      <c r="E3" s="237"/>
    </row>
    <row r="4" spans="1:18" s="297" customFormat="1" ht="51">
      <c r="A4" s="290" t="s">
        <v>292</v>
      </c>
      <c r="B4" s="290" t="s">
        <v>17</v>
      </c>
      <c r="C4" s="290" t="s">
        <v>254</v>
      </c>
      <c r="D4" s="291" t="s">
        <v>290</v>
      </c>
      <c r="E4" s="292" t="s">
        <v>392</v>
      </c>
      <c r="F4" s="293" t="s">
        <v>410</v>
      </c>
      <c r="G4" s="332" t="s">
        <v>414</v>
      </c>
      <c r="H4" s="324" t="s">
        <v>418</v>
      </c>
      <c r="I4" s="294" t="s">
        <v>397</v>
      </c>
      <c r="J4" s="290" t="s">
        <v>398</v>
      </c>
      <c r="K4" s="293" t="s">
        <v>402</v>
      </c>
      <c r="L4" s="290" t="s">
        <v>400</v>
      </c>
      <c r="M4" s="293" t="s">
        <v>408</v>
      </c>
      <c r="N4" s="293"/>
      <c r="O4" s="295" t="s">
        <v>270</v>
      </c>
      <c r="P4" s="290" t="s">
        <v>280</v>
      </c>
      <c r="Q4" s="324" t="s">
        <v>415</v>
      </c>
      <c r="R4" s="324" t="s">
        <v>416</v>
      </c>
    </row>
    <row r="5" spans="1:18" ht="12.75" hidden="1">
      <c r="A5" s="39" t="s">
        <v>1</v>
      </c>
      <c r="B5" s="35" t="s">
        <v>224</v>
      </c>
      <c r="C5" s="36" t="s">
        <v>225</v>
      </c>
      <c r="D5" s="233">
        <v>2.352</v>
      </c>
      <c r="E5" s="244">
        <f aca="true" t="shared" si="0" ref="E5:E48">D5*5108.84/174</f>
        <v>69.05742344827586</v>
      </c>
      <c r="F5" s="37"/>
      <c r="G5" s="333"/>
      <c r="H5" s="322"/>
      <c r="I5" s="37"/>
      <c r="J5" s="37"/>
      <c r="K5" s="37"/>
      <c r="L5" s="37"/>
      <c r="M5" s="37">
        <v>560</v>
      </c>
      <c r="N5" s="37"/>
      <c r="O5" s="100" t="s">
        <v>271</v>
      </c>
      <c r="P5" s="118">
        <v>3204010433</v>
      </c>
      <c r="Q5" s="322"/>
      <c r="R5" s="344"/>
    </row>
    <row r="6" spans="1:18" s="203" customFormat="1" ht="12.75" hidden="1">
      <c r="A6" s="39" t="s">
        <v>2</v>
      </c>
      <c r="B6" s="273" t="s">
        <v>406</v>
      </c>
      <c r="C6" s="274" t="s">
        <v>407</v>
      </c>
      <c r="D6" s="275">
        <v>1.25</v>
      </c>
      <c r="E6" s="271">
        <f t="shared" si="0"/>
        <v>36.701436781609196</v>
      </c>
      <c r="F6" s="198"/>
      <c r="G6" s="334"/>
      <c r="H6" s="321"/>
      <c r="I6" s="198"/>
      <c r="J6" s="198"/>
      <c r="K6" s="198"/>
      <c r="L6" s="198"/>
      <c r="M6" s="198">
        <v>350</v>
      </c>
      <c r="N6" s="198"/>
      <c r="O6" s="272" t="s">
        <v>271</v>
      </c>
      <c r="P6" s="276"/>
      <c r="Q6" s="321"/>
      <c r="R6" s="345"/>
    </row>
    <row r="7" spans="1:18" ht="12.75">
      <c r="A7" s="39" t="s">
        <v>3</v>
      </c>
      <c r="B7" s="35" t="s">
        <v>29</v>
      </c>
      <c r="C7" s="36" t="s">
        <v>31</v>
      </c>
      <c r="D7" s="233">
        <v>1.525</v>
      </c>
      <c r="E7" s="244">
        <f t="shared" si="0"/>
        <v>44.77575287356321</v>
      </c>
      <c r="F7" s="37">
        <v>451.34</v>
      </c>
      <c r="G7" s="333">
        <v>451.34</v>
      </c>
      <c r="H7" s="322">
        <f>F7-G7</f>
        <v>0</v>
      </c>
      <c r="I7" s="37"/>
      <c r="J7" s="37"/>
      <c r="K7" s="37">
        <v>358.21</v>
      </c>
      <c r="L7" s="37"/>
      <c r="M7" s="37">
        <v>250</v>
      </c>
      <c r="N7" s="37"/>
      <c r="O7" s="100" t="s">
        <v>271</v>
      </c>
      <c r="P7" s="118">
        <v>3204010046</v>
      </c>
      <c r="Q7" s="322"/>
      <c r="R7" s="344"/>
    </row>
    <row r="8" spans="1:18" ht="12.75" hidden="1">
      <c r="A8" s="39" t="s">
        <v>4</v>
      </c>
      <c r="B8" s="35" t="s">
        <v>33</v>
      </c>
      <c r="C8" s="36" t="s">
        <v>32</v>
      </c>
      <c r="D8" s="233">
        <v>1.46</v>
      </c>
      <c r="E8" s="244">
        <f t="shared" si="0"/>
        <v>42.86727816091954</v>
      </c>
      <c r="F8" s="37"/>
      <c r="G8" s="333"/>
      <c r="H8" s="322"/>
      <c r="I8" s="37"/>
      <c r="J8" s="37"/>
      <c r="K8" s="37">
        <v>344.35</v>
      </c>
      <c r="L8" s="37"/>
      <c r="M8" s="37">
        <v>250</v>
      </c>
      <c r="N8" s="37"/>
      <c r="O8" s="100" t="s">
        <v>271</v>
      </c>
      <c r="P8" s="118">
        <v>3204009691</v>
      </c>
      <c r="Q8" s="322"/>
      <c r="R8" s="344"/>
    </row>
    <row r="9" spans="1:18" ht="12.75" hidden="1">
      <c r="A9" s="39" t="s">
        <v>5</v>
      </c>
      <c r="B9" s="35" t="s">
        <v>34</v>
      </c>
      <c r="C9" s="36" t="s">
        <v>35</v>
      </c>
      <c r="D9" s="233">
        <v>1.441</v>
      </c>
      <c r="E9" s="244">
        <f t="shared" si="0"/>
        <v>42.30941632183908</v>
      </c>
      <c r="F9" s="37"/>
      <c r="G9" s="333"/>
      <c r="H9" s="322"/>
      <c r="I9" s="37"/>
      <c r="J9" s="37"/>
      <c r="K9" s="37">
        <v>338.48</v>
      </c>
      <c r="L9" s="37"/>
      <c r="M9" s="37">
        <v>560</v>
      </c>
      <c r="N9" s="37"/>
      <c r="O9" s="100" t="s">
        <v>272</v>
      </c>
      <c r="P9" s="118">
        <v>3220485615</v>
      </c>
      <c r="Q9" s="322"/>
      <c r="R9" s="344"/>
    </row>
    <row r="10" spans="1:18" ht="12.75">
      <c r="A10" s="39" t="s">
        <v>6</v>
      </c>
      <c r="B10" s="35" t="s">
        <v>36</v>
      </c>
      <c r="C10" s="36" t="s">
        <v>37</v>
      </c>
      <c r="D10" s="233">
        <v>1.525</v>
      </c>
      <c r="E10" s="244">
        <f t="shared" si="0"/>
        <v>44.77575287356321</v>
      </c>
      <c r="F10" s="37">
        <v>150.45</v>
      </c>
      <c r="G10" s="333">
        <v>150.45</v>
      </c>
      <c r="H10" s="322">
        <f aca="true" t="shared" si="1" ref="H10:H71">F10-G10</f>
        <v>0</v>
      </c>
      <c r="I10" s="37"/>
      <c r="J10" s="37"/>
      <c r="K10" s="37">
        <v>358.21</v>
      </c>
      <c r="L10" s="37"/>
      <c r="M10" s="37">
        <v>250</v>
      </c>
      <c r="N10" s="37"/>
      <c r="O10" s="100" t="s">
        <v>271</v>
      </c>
      <c r="P10" s="118">
        <v>3204010214</v>
      </c>
      <c r="Q10" s="322"/>
      <c r="R10" s="344"/>
    </row>
    <row r="11" spans="1:18" ht="12.75">
      <c r="A11" s="39" t="s">
        <v>7</v>
      </c>
      <c r="B11" s="35" t="s">
        <v>38</v>
      </c>
      <c r="C11" s="36" t="s">
        <v>39</v>
      </c>
      <c r="D11" s="233">
        <v>1.512</v>
      </c>
      <c r="E11" s="244">
        <f t="shared" si="0"/>
        <v>44.39405793103449</v>
      </c>
      <c r="F11" s="37">
        <v>149.16</v>
      </c>
      <c r="G11" s="333">
        <v>149.16</v>
      </c>
      <c r="H11" s="322">
        <f t="shared" si="1"/>
        <v>0</v>
      </c>
      <c r="I11" s="37"/>
      <c r="J11" s="37"/>
      <c r="K11" s="37">
        <v>355.15</v>
      </c>
      <c r="L11" s="37"/>
      <c r="M11" s="37"/>
      <c r="N11" s="37"/>
      <c r="O11" s="100" t="s">
        <v>271</v>
      </c>
      <c r="P11" s="118">
        <v>3204010327</v>
      </c>
      <c r="Q11" s="322"/>
      <c r="R11" s="344"/>
    </row>
    <row r="12" spans="1:18" ht="12.75">
      <c r="A12" s="39" t="s">
        <v>8</v>
      </c>
      <c r="B12" s="35" t="s">
        <v>40</v>
      </c>
      <c r="C12" s="36" t="s">
        <v>41</v>
      </c>
      <c r="D12" s="233">
        <v>1.339</v>
      </c>
      <c r="E12" s="244">
        <f t="shared" si="0"/>
        <v>39.31457908045977</v>
      </c>
      <c r="F12" s="37">
        <v>138.02</v>
      </c>
      <c r="G12" s="333">
        <v>138.02</v>
      </c>
      <c r="H12" s="322">
        <f t="shared" si="1"/>
        <v>0</v>
      </c>
      <c r="I12" s="37"/>
      <c r="J12" s="37"/>
      <c r="K12" s="37"/>
      <c r="L12" s="37">
        <v>788.8</v>
      </c>
      <c r="M12" s="37"/>
      <c r="N12" s="37"/>
      <c r="O12" s="100" t="s">
        <v>271</v>
      </c>
      <c r="P12" s="118">
        <v>3204017738</v>
      </c>
      <c r="Q12" s="322"/>
      <c r="R12" s="344"/>
    </row>
    <row r="13" spans="1:18" ht="12.75">
      <c r="A13" s="39" t="s">
        <v>9</v>
      </c>
      <c r="B13" s="35" t="s">
        <v>42</v>
      </c>
      <c r="C13" s="36" t="s">
        <v>43</v>
      </c>
      <c r="D13" s="233">
        <v>1.544</v>
      </c>
      <c r="E13" s="244">
        <f t="shared" si="0"/>
        <v>45.33361471264368</v>
      </c>
      <c r="F13" s="37">
        <v>152.32</v>
      </c>
      <c r="G13" s="333">
        <v>152.32</v>
      </c>
      <c r="H13" s="322">
        <f t="shared" si="1"/>
        <v>0</v>
      </c>
      <c r="I13" s="37"/>
      <c r="J13" s="37"/>
      <c r="K13" s="37">
        <v>362.67</v>
      </c>
      <c r="L13" s="37"/>
      <c r="M13" s="37"/>
      <c r="N13" s="37"/>
      <c r="O13" s="100" t="s">
        <v>271</v>
      </c>
      <c r="P13" s="118">
        <v>3204010476</v>
      </c>
      <c r="Q13" s="322"/>
      <c r="R13" s="344"/>
    </row>
    <row r="14" spans="1:18" ht="12.75" hidden="1">
      <c r="A14" s="39" t="s">
        <v>30</v>
      </c>
      <c r="B14" s="35" t="s">
        <v>44</v>
      </c>
      <c r="C14" s="36" t="s">
        <v>45</v>
      </c>
      <c r="D14" s="233">
        <v>1.369</v>
      </c>
      <c r="E14" s="244">
        <f t="shared" si="0"/>
        <v>40.195413563218395</v>
      </c>
      <c r="F14" s="37"/>
      <c r="G14" s="333"/>
      <c r="H14" s="322"/>
      <c r="I14" s="37">
        <v>513.36</v>
      </c>
      <c r="J14" s="37"/>
      <c r="K14" s="37">
        <v>321.56</v>
      </c>
      <c r="L14" s="37"/>
      <c r="M14" s="37">
        <v>250</v>
      </c>
      <c r="N14" s="37"/>
      <c r="O14" s="100" t="s">
        <v>271</v>
      </c>
      <c r="P14" s="118">
        <v>3204010484</v>
      </c>
      <c r="Q14" s="322"/>
      <c r="R14" s="344"/>
    </row>
    <row r="15" spans="1:18" ht="12.75">
      <c r="A15" s="39" t="s">
        <v>10</v>
      </c>
      <c r="B15" s="35" t="s">
        <v>47</v>
      </c>
      <c r="C15" s="36" t="s">
        <v>48</v>
      </c>
      <c r="D15" s="233">
        <v>1.333</v>
      </c>
      <c r="E15" s="244">
        <f t="shared" si="0"/>
        <v>39.138412183908045</v>
      </c>
      <c r="F15" s="37">
        <v>263.01</v>
      </c>
      <c r="G15" s="333">
        <v>263.01</v>
      </c>
      <c r="H15" s="322">
        <f t="shared" si="1"/>
        <v>0</v>
      </c>
      <c r="I15" s="37"/>
      <c r="J15" s="37"/>
      <c r="K15" s="37">
        <v>313.11</v>
      </c>
      <c r="L15" s="37"/>
      <c r="M15" s="37">
        <v>250</v>
      </c>
      <c r="N15" s="37"/>
      <c r="O15" s="100" t="s">
        <v>271</v>
      </c>
      <c r="P15" s="118">
        <v>3204016384</v>
      </c>
      <c r="Q15" s="322"/>
      <c r="R15" s="344"/>
    </row>
    <row r="16" spans="1:18" ht="12.75">
      <c r="A16" s="39" t="s">
        <v>11</v>
      </c>
      <c r="B16" s="35" t="s">
        <v>248</v>
      </c>
      <c r="C16" s="36" t="s">
        <v>249</v>
      </c>
      <c r="D16" s="233">
        <v>1.259</v>
      </c>
      <c r="E16" s="244">
        <f t="shared" si="0"/>
        <v>36.965687126436784</v>
      </c>
      <c r="F16" s="37">
        <v>124.2</v>
      </c>
      <c r="G16" s="333">
        <v>124.2</v>
      </c>
      <c r="H16" s="322">
        <f t="shared" si="1"/>
        <v>0</v>
      </c>
      <c r="I16" s="37"/>
      <c r="J16" s="37"/>
      <c r="K16" s="37">
        <v>295.73</v>
      </c>
      <c r="L16" s="37"/>
      <c r="M16" s="37">
        <v>600</v>
      </c>
      <c r="N16" s="37"/>
      <c r="O16" s="100" t="s">
        <v>275</v>
      </c>
      <c r="P16" s="118">
        <v>3223040861</v>
      </c>
      <c r="Q16" s="322"/>
      <c r="R16" s="344"/>
    </row>
    <row r="17" spans="1:19" s="203" customFormat="1" ht="12.75" hidden="1">
      <c r="A17" s="39" t="s">
        <v>12</v>
      </c>
      <c r="B17" s="273" t="s">
        <v>49</v>
      </c>
      <c r="C17" s="274" t="s">
        <v>50</v>
      </c>
      <c r="D17" s="275">
        <v>1.344</v>
      </c>
      <c r="E17" s="244">
        <f t="shared" si="0"/>
        <v>39.461384827586215</v>
      </c>
      <c r="F17" s="37"/>
      <c r="G17" s="333"/>
      <c r="H17" s="322"/>
      <c r="I17" s="198"/>
      <c r="J17" s="198"/>
      <c r="K17" s="37">
        <v>315.69</v>
      </c>
      <c r="L17" s="198"/>
      <c r="M17" s="198">
        <v>650</v>
      </c>
      <c r="N17" s="198"/>
      <c r="O17" s="272" t="s">
        <v>271</v>
      </c>
      <c r="P17" s="276">
        <v>3203991914</v>
      </c>
      <c r="Q17" s="322"/>
      <c r="R17" s="344"/>
      <c r="S17" s="28"/>
    </row>
    <row r="18" spans="1:18" ht="12.75" hidden="1">
      <c r="A18" s="39" t="s">
        <v>13</v>
      </c>
      <c r="B18" s="35" t="s">
        <v>251</v>
      </c>
      <c r="C18" s="36" t="s">
        <v>53</v>
      </c>
      <c r="D18" s="233">
        <v>1.264</v>
      </c>
      <c r="E18" s="244">
        <f t="shared" si="0"/>
        <v>37.11249287356322</v>
      </c>
      <c r="F18" s="37"/>
      <c r="G18" s="333"/>
      <c r="H18" s="322"/>
      <c r="I18" s="37"/>
      <c r="J18" s="37"/>
      <c r="K18" s="37">
        <v>296.9</v>
      </c>
      <c r="L18" s="37"/>
      <c r="M18" s="37">
        <v>650</v>
      </c>
      <c r="N18" s="37"/>
      <c r="O18" s="100" t="s">
        <v>274</v>
      </c>
      <c r="P18" s="118">
        <v>3201084947</v>
      </c>
      <c r="Q18" s="322"/>
      <c r="R18" s="344"/>
    </row>
    <row r="19" spans="1:18" ht="12.75" hidden="1">
      <c r="A19" s="39" t="s">
        <v>14</v>
      </c>
      <c r="B19" s="35" t="s">
        <v>54</v>
      </c>
      <c r="C19" s="36" t="s">
        <v>55</v>
      </c>
      <c r="D19" s="233">
        <v>1.282</v>
      </c>
      <c r="E19" s="244">
        <f t="shared" si="0"/>
        <v>37.640993563218395</v>
      </c>
      <c r="F19" s="37"/>
      <c r="G19" s="333"/>
      <c r="H19" s="322"/>
      <c r="I19" s="37"/>
      <c r="J19" s="37"/>
      <c r="K19" s="37">
        <v>313.11</v>
      </c>
      <c r="L19" s="37"/>
      <c r="M19" s="37">
        <v>600</v>
      </c>
      <c r="N19" s="37"/>
      <c r="O19" s="100" t="s">
        <v>271</v>
      </c>
      <c r="P19" s="118">
        <v>3207503041</v>
      </c>
      <c r="Q19" s="322"/>
      <c r="R19" s="344"/>
    </row>
    <row r="20" spans="1:18" ht="12.75" hidden="1">
      <c r="A20" s="39" t="s">
        <v>15</v>
      </c>
      <c r="B20" s="35" t="s">
        <v>246</v>
      </c>
      <c r="C20" s="36" t="s">
        <v>247</v>
      </c>
      <c r="D20" s="233">
        <v>1.306</v>
      </c>
      <c r="E20" s="244">
        <f t="shared" si="0"/>
        <v>38.34566114942529</v>
      </c>
      <c r="F20" s="37"/>
      <c r="G20" s="333"/>
      <c r="H20" s="322"/>
      <c r="I20" s="37"/>
      <c r="J20" s="37"/>
      <c r="K20" s="37">
        <v>306.77</v>
      </c>
      <c r="L20" s="37"/>
      <c r="M20" s="37">
        <v>600</v>
      </c>
      <c r="N20" s="37"/>
      <c r="O20" s="100" t="s">
        <v>275</v>
      </c>
      <c r="P20" s="118">
        <v>3221235503</v>
      </c>
      <c r="Q20" s="322"/>
      <c r="R20" s="344"/>
    </row>
    <row r="21" spans="1:18" ht="12.75" hidden="1">
      <c r="A21" s="39" t="s">
        <v>16</v>
      </c>
      <c r="B21" s="35" t="s">
        <v>213</v>
      </c>
      <c r="C21" s="36" t="s">
        <v>214</v>
      </c>
      <c r="D21" s="233">
        <v>1.288</v>
      </c>
      <c r="E21" s="244">
        <f t="shared" si="0"/>
        <v>37.81716045977012</v>
      </c>
      <c r="F21" s="37"/>
      <c r="G21" s="333"/>
      <c r="H21" s="322"/>
      <c r="I21" s="37"/>
      <c r="J21" s="37"/>
      <c r="K21" s="37">
        <v>302.54</v>
      </c>
      <c r="L21" s="37">
        <v>658.02</v>
      </c>
      <c r="M21" s="37"/>
      <c r="N21" s="37"/>
      <c r="O21" s="100" t="s">
        <v>271</v>
      </c>
      <c r="P21" s="118">
        <v>3207325476</v>
      </c>
      <c r="Q21" s="322"/>
      <c r="R21" s="344"/>
    </row>
    <row r="22" spans="1:18" ht="12.75" hidden="1">
      <c r="A22" s="39" t="s">
        <v>58</v>
      </c>
      <c r="B22" s="35" t="s">
        <v>70</v>
      </c>
      <c r="C22" s="36" t="s">
        <v>71</v>
      </c>
      <c r="D22" s="233">
        <v>1.281</v>
      </c>
      <c r="E22" s="244">
        <f t="shared" si="0"/>
        <v>37.6116324137931</v>
      </c>
      <c r="F22" s="37"/>
      <c r="G22" s="333"/>
      <c r="H22" s="322"/>
      <c r="I22" s="37"/>
      <c r="J22" s="37"/>
      <c r="K22" s="37">
        <v>300.89</v>
      </c>
      <c r="L22" s="37"/>
      <c r="M22" s="37">
        <v>650</v>
      </c>
      <c r="N22" s="37"/>
      <c r="O22" s="100" t="s">
        <v>271</v>
      </c>
      <c r="P22" s="118">
        <v>3209339880</v>
      </c>
      <c r="Q22" s="322"/>
      <c r="R22" s="344"/>
    </row>
    <row r="23" spans="1:18" ht="12.75" hidden="1">
      <c r="A23" s="39" t="s">
        <v>61</v>
      </c>
      <c r="B23" s="35" t="s">
        <v>252</v>
      </c>
      <c r="C23" s="36" t="s">
        <v>62</v>
      </c>
      <c r="D23" s="233">
        <v>1.281</v>
      </c>
      <c r="E23" s="244">
        <f t="shared" si="0"/>
        <v>37.6116324137931</v>
      </c>
      <c r="F23" s="37"/>
      <c r="G23" s="333"/>
      <c r="H23" s="322"/>
      <c r="I23" s="37"/>
      <c r="J23" s="37"/>
      <c r="K23" s="37"/>
      <c r="L23" s="37">
        <v>654.44</v>
      </c>
      <c r="M23" s="37">
        <v>810</v>
      </c>
      <c r="N23" s="37"/>
      <c r="O23" s="100" t="s">
        <v>271</v>
      </c>
      <c r="P23" s="118">
        <v>3209826266</v>
      </c>
      <c r="Q23" s="322"/>
      <c r="R23" s="344"/>
    </row>
    <row r="24" spans="1:18" ht="12.75">
      <c r="A24" s="39" t="s">
        <v>63</v>
      </c>
      <c r="B24" s="35" t="s">
        <v>64</v>
      </c>
      <c r="C24" s="36" t="s">
        <v>65</v>
      </c>
      <c r="D24" s="233">
        <v>1.275</v>
      </c>
      <c r="E24" s="244">
        <f t="shared" si="0"/>
        <v>37.435465517241376</v>
      </c>
      <c r="F24" s="37">
        <v>125.78</v>
      </c>
      <c r="G24" s="333">
        <v>125.78</v>
      </c>
      <c r="H24" s="322">
        <f t="shared" si="1"/>
        <v>0</v>
      </c>
      <c r="I24" s="37"/>
      <c r="J24" s="37"/>
      <c r="K24" s="37">
        <v>299.48</v>
      </c>
      <c r="L24" s="37"/>
      <c r="M24" s="37"/>
      <c r="N24" s="37"/>
      <c r="O24" s="100" t="s">
        <v>271</v>
      </c>
      <c r="P24" s="118">
        <v>3206487143</v>
      </c>
      <c r="Q24" s="322"/>
      <c r="R24" s="344"/>
    </row>
    <row r="25" spans="1:18" ht="12.75" hidden="1">
      <c r="A25" s="39" t="s">
        <v>66</v>
      </c>
      <c r="B25" s="35" t="s">
        <v>67</v>
      </c>
      <c r="C25" s="36" t="s">
        <v>68</v>
      </c>
      <c r="D25" s="233">
        <v>1.275</v>
      </c>
      <c r="E25" s="244">
        <f t="shared" si="0"/>
        <v>37.435465517241376</v>
      </c>
      <c r="F25" s="37"/>
      <c r="G25" s="333"/>
      <c r="H25" s="322"/>
      <c r="I25" s="37"/>
      <c r="J25" s="37"/>
      <c r="K25" s="37">
        <v>299.48</v>
      </c>
      <c r="L25" s="37">
        <v>651.38</v>
      </c>
      <c r="M25" s="37">
        <v>830</v>
      </c>
      <c r="N25" s="37"/>
      <c r="O25" s="100" t="s">
        <v>276</v>
      </c>
      <c r="P25" s="118">
        <v>3251666018</v>
      </c>
      <c r="Q25" s="322"/>
      <c r="R25" s="344"/>
    </row>
    <row r="26" spans="1:18" ht="12.75">
      <c r="A26" s="39" t="s">
        <v>69</v>
      </c>
      <c r="B26" s="35" t="s">
        <v>73</v>
      </c>
      <c r="C26" s="36" t="s">
        <v>74</v>
      </c>
      <c r="D26" s="233">
        <v>1.525</v>
      </c>
      <c r="E26" s="244">
        <f t="shared" si="0"/>
        <v>44.77575287356321</v>
      </c>
      <c r="F26" s="37">
        <v>250.74</v>
      </c>
      <c r="G26" s="333">
        <v>175.52</v>
      </c>
      <c r="H26" s="322">
        <f t="shared" si="1"/>
        <v>75.22</v>
      </c>
      <c r="I26" s="37"/>
      <c r="J26" s="37"/>
      <c r="K26" s="37">
        <v>358.21</v>
      </c>
      <c r="L26" s="37"/>
      <c r="M26" s="37">
        <v>502</v>
      </c>
      <c r="N26" s="37"/>
      <c r="O26" s="100" t="s">
        <v>271</v>
      </c>
      <c r="P26" s="118">
        <v>3204051514</v>
      </c>
      <c r="Q26" s="322">
        <f>G26-H26</f>
        <v>100.30000000000001</v>
      </c>
      <c r="R26" s="344"/>
    </row>
    <row r="27" spans="1:18" ht="12.75">
      <c r="A27" s="39" t="s">
        <v>72</v>
      </c>
      <c r="B27" s="35" t="s">
        <v>239</v>
      </c>
      <c r="C27" s="36" t="s">
        <v>76</v>
      </c>
      <c r="D27" s="233">
        <v>1.476</v>
      </c>
      <c r="E27" s="244">
        <f t="shared" si="0"/>
        <v>43.33705655172414</v>
      </c>
      <c r="F27" s="37">
        <v>1067.83</v>
      </c>
      <c r="G27" s="333">
        <v>412.57</v>
      </c>
      <c r="H27" s="322">
        <f t="shared" si="1"/>
        <v>655.26</v>
      </c>
      <c r="I27" s="37"/>
      <c r="J27" s="37"/>
      <c r="K27" s="37">
        <v>346.7</v>
      </c>
      <c r="L27" s="37"/>
      <c r="M27" s="37">
        <v>250</v>
      </c>
      <c r="N27" s="37"/>
      <c r="O27" s="100" t="s">
        <v>271</v>
      </c>
      <c r="P27" s="118">
        <v>3204010298</v>
      </c>
      <c r="Q27" s="322">
        <f>G27-H27</f>
        <v>-242.69</v>
      </c>
      <c r="R27" s="344">
        <f>G27+Q27</f>
        <v>169.88</v>
      </c>
    </row>
    <row r="28" spans="1:18" ht="12.75">
      <c r="A28" s="39" t="s">
        <v>75</v>
      </c>
      <c r="B28" s="35" t="s">
        <v>78</v>
      </c>
      <c r="C28" s="36" t="s">
        <v>79</v>
      </c>
      <c r="D28" s="233">
        <v>1.559</v>
      </c>
      <c r="E28" s="244">
        <f t="shared" si="0"/>
        <v>45.77403195402299</v>
      </c>
      <c r="F28" s="37">
        <v>463.47</v>
      </c>
      <c r="G28" s="333">
        <v>283.23</v>
      </c>
      <c r="H28" s="322">
        <f t="shared" si="1"/>
        <v>180.24</v>
      </c>
      <c r="I28" s="37"/>
      <c r="J28" s="37"/>
      <c r="K28" s="37">
        <v>367.84</v>
      </c>
      <c r="L28" s="37"/>
      <c r="M28" s="37"/>
      <c r="N28" s="37"/>
      <c r="O28" s="100" t="s">
        <v>271</v>
      </c>
      <c r="P28" s="118">
        <v>3214138674</v>
      </c>
      <c r="Q28" s="322">
        <f>G28-H28</f>
        <v>102.99000000000001</v>
      </c>
      <c r="R28" s="344"/>
    </row>
    <row r="29" spans="1:18" ht="12.75" hidden="1">
      <c r="A29" s="39" t="s">
        <v>77</v>
      </c>
      <c r="B29" s="35" t="s">
        <v>84</v>
      </c>
      <c r="C29" s="36" t="s">
        <v>85</v>
      </c>
      <c r="D29" s="233">
        <v>1.256</v>
      </c>
      <c r="E29" s="244">
        <f t="shared" si="0"/>
        <v>36.87760367816092</v>
      </c>
      <c r="F29" s="37"/>
      <c r="G29" s="333"/>
      <c r="H29" s="322"/>
      <c r="I29" s="37"/>
      <c r="J29" s="37"/>
      <c r="K29" s="37">
        <v>295.02</v>
      </c>
      <c r="L29" s="37"/>
      <c r="M29" s="37">
        <v>250</v>
      </c>
      <c r="N29" s="37"/>
      <c r="O29" s="100" t="s">
        <v>276</v>
      </c>
      <c r="P29" s="118">
        <v>3251589993</v>
      </c>
      <c r="Q29" s="322"/>
      <c r="R29" s="344"/>
    </row>
    <row r="30" spans="1:18" ht="12.75">
      <c r="A30" s="39" t="s">
        <v>80</v>
      </c>
      <c r="B30" s="35" t="s">
        <v>87</v>
      </c>
      <c r="C30" s="36" t="s">
        <v>88</v>
      </c>
      <c r="D30" s="233">
        <v>1.518</v>
      </c>
      <c r="E30" s="244">
        <f t="shared" si="0"/>
        <v>44.57022482758621</v>
      </c>
      <c r="F30" s="37">
        <v>349.43</v>
      </c>
      <c r="G30" s="334">
        <v>262.07</v>
      </c>
      <c r="H30" s="322">
        <f t="shared" si="1"/>
        <v>87.36000000000001</v>
      </c>
      <c r="I30" s="37"/>
      <c r="J30" s="37"/>
      <c r="K30" s="37">
        <v>356.56</v>
      </c>
      <c r="L30" s="37"/>
      <c r="M30" s="37"/>
      <c r="N30" s="37"/>
      <c r="O30" s="100" t="s">
        <v>274</v>
      </c>
      <c r="P30" s="118">
        <v>3201084963</v>
      </c>
      <c r="Q30" s="322">
        <f aca="true" t="shared" si="2" ref="Q30:Q36">G30-H30</f>
        <v>174.70999999999998</v>
      </c>
      <c r="R30" s="344"/>
    </row>
    <row r="31" spans="1:18" ht="12.75">
      <c r="A31" s="39" t="s">
        <v>83</v>
      </c>
      <c r="B31" s="35" t="s">
        <v>90</v>
      </c>
      <c r="C31" s="36" t="s">
        <v>91</v>
      </c>
      <c r="D31" s="233">
        <v>1.538</v>
      </c>
      <c r="E31" s="244">
        <f t="shared" si="0"/>
        <v>45.15744781609196</v>
      </c>
      <c r="F31" s="37">
        <v>657.49</v>
      </c>
      <c r="G31" s="334">
        <v>252.88</v>
      </c>
      <c r="H31" s="322">
        <f t="shared" si="1"/>
        <v>404.61</v>
      </c>
      <c r="I31" s="37">
        <v>585.96</v>
      </c>
      <c r="J31" s="37"/>
      <c r="K31" s="37">
        <v>361.26</v>
      </c>
      <c r="L31" s="37"/>
      <c r="M31" s="37"/>
      <c r="N31" s="37"/>
      <c r="O31" s="100" t="s">
        <v>271</v>
      </c>
      <c r="P31" s="118">
        <v>3207034652</v>
      </c>
      <c r="Q31" s="322">
        <f t="shared" si="2"/>
        <v>-151.73000000000002</v>
      </c>
      <c r="R31" s="344">
        <f>G31+Q31</f>
        <v>101.14999999999998</v>
      </c>
    </row>
    <row r="32" spans="1:18" ht="12.75">
      <c r="A32" s="39" t="s">
        <v>86</v>
      </c>
      <c r="B32" s="35" t="s">
        <v>94</v>
      </c>
      <c r="C32" s="36" t="s">
        <v>95</v>
      </c>
      <c r="D32" s="233">
        <v>1.418</v>
      </c>
      <c r="E32" s="244">
        <f t="shared" si="0"/>
        <v>41.63410988505747</v>
      </c>
      <c r="F32" s="37">
        <v>394.35</v>
      </c>
      <c r="G32" s="334">
        <v>308.09</v>
      </c>
      <c r="H32" s="322">
        <f t="shared" si="1"/>
        <v>86.26000000000005</v>
      </c>
      <c r="I32" s="37"/>
      <c r="J32" s="37"/>
      <c r="K32" s="37">
        <v>352.1</v>
      </c>
      <c r="L32" s="37"/>
      <c r="M32" s="37">
        <v>250</v>
      </c>
      <c r="N32" s="37"/>
      <c r="O32" s="100" t="s">
        <v>271</v>
      </c>
      <c r="P32" s="118">
        <v>3203938809</v>
      </c>
      <c r="Q32" s="322">
        <f t="shared" si="2"/>
        <v>221.82999999999993</v>
      </c>
      <c r="R32" s="344"/>
    </row>
    <row r="33" spans="1:18" ht="12.75">
      <c r="A33" s="39" t="s">
        <v>89</v>
      </c>
      <c r="B33" s="35" t="s">
        <v>221</v>
      </c>
      <c r="C33" s="36" t="s">
        <v>222</v>
      </c>
      <c r="D33" s="233">
        <v>1.269</v>
      </c>
      <c r="E33" s="244">
        <f t="shared" si="0"/>
        <v>37.259298620689655</v>
      </c>
      <c r="F33" s="37">
        <v>461.2</v>
      </c>
      <c r="G33" s="334">
        <v>209.64</v>
      </c>
      <c r="H33" s="322">
        <f t="shared" si="1"/>
        <v>251.56</v>
      </c>
      <c r="I33" s="37"/>
      <c r="J33" s="37"/>
      <c r="K33" s="37">
        <v>299.48</v>
      </c>
      <c r="L33" s="37"/>
      <c r="M33" s="37">
        <v>1956</v>
      </c>
      <c r="N33" s="37"/>
      <c r="O33" s="100" t="s">
        <v>276</v>
      </c>
      <c r="P33" s="118">
        <v>3243353856</v>
      </c>
      <c r="Q33" s="322">
        <f t="shared" si="2"/>
        <v>-41.920000000000016</v>
      </c>
      <c r="R33" s="344">
        <f>G33+Q33</f>
        <v>167.71999999999997</v>
      </c>
    </row>
    <row r="34" spans="1:18" ht="12.75">
      <c r="A34" s="39" t="s">
        <v>92</v>
      </c>
      <c r="B34" s="35" t="s">
        <v>253</v>
      </c>
      <c r="C34" s="36" t="s">
        <v>97</v>
      </c>
      <c r="D34" s="233">
        <v>1.491</v>
      </c>
      <c r="E34" s="244">
        <f t="shared" si="0"/>
        <v>43.777473793103454</v>
      </c>
      <c r="F34" s="37">
        <v>149.76</v>
      </c>
      <c r="G34" s="334">
        <v>149.76</v>
      </c>
      <c r="H34" s="322">
        <f t="shared" si="1"/>
        <v>0</v>
      </c>
      <c r="I34" s="37"/>
      <c r="J34" s="37"/>
      <c r="K34" s="37">
        <v>356.56</v>
      </c>
      <c r="L34" s="37"/>
      <c r="M34" s="37"/>
      <c r="N34" s="37"/>
      <c r="O34" s="100" t="s">
        <v>274</v>
      </c>
      <c r="P34" s="118">
        <v>3201085064</v>
      </c>
      <c r="Q34" s="322">
        <f t="shared" si="2"/>
        <v>149.76</v>
      </c>
      <c r="R34" s="344"/>
    </row>
    <row r="35" spans="1:18" ht="12.75">
      <c r="A35" s="39" t="s">
        <v>93</v>
      </c>
      <c r="B35" s="35" t="s">
        <v>99</v>
      </c>
      <c r="C35" s="36" t="s">
        <v>100</v>
      </c>
      <c r="D35" s="233">
        <v>1.306</v>
      </c>
      <c r="E35" s="244">
        <f t="shared" si="0"/>
        <v>38.34566114942529</v>
      </c>
      <c r="F35" s="37">
        <v>966.31</v>
      </c>
      <c r="G35" s="334">
        <v>402.63</v>
      </c>
      <c r="H35" s="322">
        <f t="shared" si="1"/>
        <v>563.68</v>
      </c>
      <c r="I35" s="37"/>
      <c r="J35" s="37"/>
      <c r="K35" s="37">
        <v>306.77</v>
      </c>
      <c r="L35" s="37"/>
      <c r="M35" s="37">
        <v>250</v>
      </c>
      <c r="N35" s="37"/>
      <c r="O35" s="100" t="s">
        <v>275</v>
      </c>
      <c r="P35" s="118">
        <v>3238905542</v>
      </c>
      <c r="Q35" s="322">
        <f t="shared" si="2"/>
        <v>-161.04999999999995</v>
      </c>
      <c r="R35" s="344">
        <f>G35+Q35</f>
        <v>241.58000000000004</v>
      </c>
    </row>
    <row r="36" spans="1:18" ht="12.75">
      <c r="A36" s="39" t="s">
        <v>96</v>
      </c>
      <c r="B36" s="35" t="s">
        <v>102</v>
      </c>
      <c r="C36" s="36" t="s">
        <v>103</v>
      </c>
      <c r="D36" s="233">
        <v>1.3</v>
      </c>
      <c r="E36" s="244">
        <f t="shared" si="0"/>
        <v>38.16949425287356</v>
      </c>
      <c r="F36" s="37">
        <v>96.19</v>
      </c>
      <c r="G36" s="333">
        <v>96.19</v>
      </c>
      <c r="H36" s="322">
        <f t="shared" si="1"/>
        <v>0</v>
      </c>
      <c r="I36" s="37"/>
      <c r="J36" s="37"/>
      <c r="K36" s="37">
        <v>305.36</v>
      </c>
      <c r="L36" s="37"/>
      <c r="M36" s="37">
        <v>250</v>
      </c>
      <c r="N36" s="37"/>
      <c r="O36" s="100" t="s">
        <v>275</v>
      </c>
      <c r="P36" s="118">
        <v>3223516627</v>
      </c>
      <c r="Q36" s="322">
        <f t="shared" si="2"/>
        <v>96.19</v>
      </c>
      <c r="R36" s="344"/>
    </row>
    <row r="37" spans="1:18" ht="12.75" hidden="1">
      <c r="A37" s="39" t="s">
        <v>98</v>
      </c>
      <c r="B37" s="35" t="s">
        <v>244</v>
      </c>
      <c r="C37" s="36" t="s">
        <v>245</v>
      </c>
      <c r="D37" s="233">
        <v>1.294</v>
      </c>
      <c r="E37" s="244">
        <f t="shared" si="0"/>
        <v>37.99332735632184</v>
      </c>
      <c r="F37" s="37"/>
      <c r="G37" s="333"/>
      <c r="H37" s="322"/>
      <c r="I37" s="37"/>
      <c r="J37" s="37"/>
      <c r="K37" s="37">
        <v>303.95</v>
      </c>
      <c r="L37" s="37">
        <v>257.16</v>
      </c>
      <c r="M37" s="37">
        <v>580</v>
      </c>
      <c r="N37" s="37"/>
      <c r="O37" s="100" t="s">
        <v>271</v>
      </c>
      <c r="P37" s="118">
        <v>3204141898</v>
      </c>
      <c r="Q37" s="322"/>
      <c r="R37" s="344"/>
    </row>
    <row r="38" spans="1:18" ht="12.75">
      <c r="A38" s="39" t="s">
        <v>101</v>
      </c>
      <c r="B38" s="35" t="s">
        <v>291</v>
      </c>
      <c r="C38" s="36" t="s">
        <v>106</v>
      </c>
      <c r="D38" s="233">
        <v>1.269</v>
      </c>
      <c r="E38" s="244">
        <f t="shared" si="0"/>
        <v>37.259298620689655</v>
      </c>
      <c r="F38" s="37">
        <f>323.41/23*21</f>
        <v>295.28739130434786</v>
      </c>
      <c r="G38" s="333">
        <v>276.46</v>
      </c>
      <c r="H38" s="322">
        <f t="shared" si="1"/>
        <v>18.827391304347884</v>
      </c>
      <c r="I38" s="37"/>
      <c r="J38" s="37"/>
      <c r="K38" s="37">
        <f>298.07/23*21</f>
        <v>272.1508695652174</v>
      </c>
      <c r="L38" s="37"/>
      <c r="M38" s="37">
        <v>838</v>
      </c>
      <c r="N38" s="37"/>
      <c r="O38" s="100" t="s">
        <v>275</v>
      </c>
      <c r="P38" s="118">
        <v>3223350187</v>
      </c>
      <c r="Q38" s="322">
        <f>G38-H38</f>
        <v>257.6326086956521</v>
      </c>
      <c r="R38" s="344"/>
    </row>
    <row r="39" spans="1:18" ht="12.75" hidden="1">
      <c r="A39" s="39" t="s">
        <v>104</v>
      </c>
      <c r="B39" s="35" t="s">
        <v>108</v>
      </c>
      <c r="C39" s="36" t="s">
        <v>109</v>
      </c>
      <c r="D39" s="233">
        <v>1.288</v>
      </c>
      <c r="E39" s="244">
        <f t="shared" si="0"/>
        <v>37.81716045977012</v>
      </c>
      <c r="F39" s="37"/>
      <c r="G39" s="333"/>
      <c r="H39" s="322"/>
      <c r="I39" s="37">
        <v>465.84</v>
      </c>
      <c r="J39" s="37"/>
      <c r="K39" s="37">
        <v>302.54</v>
      </c>
      <c r="L39" s="37"/>
      <c r="M39" s="37">
        <v>838</v>
      </c>
      <c r="N39" s="37"/>
      <c r="O39" s="100" t="s">
        <v>274</v>
      </c>
      <c r="P39" s="118">
        <v>3201113074</v>
      </c>
      <c r="Q39" s="322"/>
      <c r="R39" s="344"/>
    </row>
    <row r="40" spans="1:18" ht="12.75">
      <c r="A40" s="39" t="s">
        <v>107</v>
      </c>
      <c r="B40" s="35" t="s">
        <v>111</v>
      </c>
      <c r="C40" s="36" t="s">
        <v>112</v>
      </c>
      <c r="D40" s="233">
        <v>1.538</v>
      </c>
      <c r="E40" s="244">
        <f t="shared" si="0"/>
        <v>45.15744781609196</v>
      </c>
      <c r="F40" s="37">
        <v>708.07</v>
      </c>
      <c r="G40" s="333">
        <v>360.36</v>
      </c>
      <c r="H40" s="322">
        <f t="shared" si="1"/>
        <v>347.71000000000004</v>
      </c>
      <c r="I40" s="37"/>
      <c r="J40" s="37"/>
      <c r="K40" s="37">
        <v>361.26</v>
      </c>
      <c r="L40" s="37"/>
      <c r="M40" s="37">
        <v>250</v>
      </c>
      <c r="N40" s="37"/>
      <c r="O40" s="100" t="s">
        <v>271</v>
      </c>
      <c r="P40" s="118">
        <v>3204010417</v>
      </c>
      <c r="Q40" s="322">
        <f aca="true" t="shared" si="3" ref="Q40:Q48">G40-H40</f>
        <v>12.649999999999977</v>
      </c>
      <c r="R40" s="344"/>
    </row>
    <row r="41" spans="1:18" ht="12.75">
      <c r="A41" s="39" t="s">
        <v>110</v>
      </c>
      <c r="B41" s="35" t="s">
        <v>114</v>
      </c>
      <c r="C41" s="36" t="s">
        <v>115</v>
      </c>
      <c r="D41" s="233">
        <v>1.442</v>
      </c>
      <c r="E41" s="244">
        <f t="shared" si="0"/>
        <v>42.33877747126437</v>
      </c>
      <c r="F41" s="37">
        <v>702.08</v>
      </c>
      <c r="G41" s="333">
        <v>357.31</v>
      </c>
      <c r="H41" s="322">
        <f t="shared" si="1"/>
        <v>344.77000000000004</v>
      </c>
      <c r="I41" s="37"/>
      <c r="J41" s="37"/>
      <c r="K41" s="37">
        <v>358.21</v>
      </c>
      <c r="L41" s="37"/>
      <c r="M41" s="37"/>
      <c r="N41" s="37"/>
      <c r="O41" s="100" t="s">
        <v>271</v>
      </c>
      <c r="P41" s="118">
        <v>3204021743</v>
      </c>
      <c r="Q41" s="322">
        <f t="shared" si="3"/>
        <v>12.539999999999964</v>
      </c>
      <c r="R41" s="344"/>
    </row>
    <row r="42" spans="1:18" ht="12.75">
      <c r="A42" s="39" t="s">
        <v>113</v>
      </c>
      <c r="B42" s="35" t="s">
        <v>117</v>
      </c>
      <c r="C42" s="36" t="s">
        <v>118</v>
      </c>
      <c r="D42" s="233">
        <v>1.466</v>
      </c>
      <c r="E42" s="244">
        <f t="shared" si="0"/>
        <v>43.04344505747127</v>
      </c>
      <c r="F42" s="37">
        <v>771.34</v>
      </c>
      <c r="G42" s="333">
        <v>409.77</v>
      </c>
      <c r="H42" s="322">
        <f t="shared" si="1"/>
        <v>361.57000000000005</v>
      </c>
      <c r="I42" s="37"/>
      <c r="J42" s="37"/>
      <c r="K42" s="37">
        <v>344.35</v>
      </c>
      <c r="L42" s="37"/>
      <c r="M42" s="37">
        <v>1306</v>
      </c>
      <c r="N42" s="37"/>
      <c r="O42" s="100" t="s">
        <v>274</v>
      </c>
      <c r="P42" s="118">
        <v>3201085072</v>
      </c>
      <c r="Q42" s="322">
        <f t="shared" si="3"/>
        <v>48.19999999999993</v>
      </c>
      <c r="R42" s="344"/>
    </row>
    <row r="43" spans="1:18" ht="12.75">
      <c r="A43" s="39" t="s">
        <v>116</v>
      </c>
      <c r="B43" s="35" t="s">
        <v>120</v>
      </c>
      <c r="C43" s="36" t="s">
        <v>121</v>
      </c>
      <c r="D43" s="233">
        <v>1.281</v>
      </c>
      <c r="E43" s="244">
        <f t="shared" si="0"/>
        <v>37.6116324137931</v>
      </c>
      <c r="F43" s="37">
        <v>231.69</v>
      </c>
      <c r="G43" s="333">
        <v>231.69</v>
      </c>
      <c r="H43" s="322">
        <f t="shared" si="1"/>
        <v>0</v>
      </c>
      <c r="I43" s="37"/>
      <c r="J43" s="37"/>
      <c r="K43" s="37">
        <v>300.89</v>
      </c>
      <c r="L43" s="37"/>
      <c r="M43" s="37">
        <v>250</v>
      </c>
      <c r="N43" s="37"/>
      <c r="O43" s="100" t="s">
        <v>271</v>
      </c>
      <c r="P43" s="118">
        <v>3201227584</v>
      </c>
      <c r="Q43" s="322">
        <f t="shared" si="3"/>
        <v>231.69</v>
      </c>
      <c r="R43" s="344"/>
    </row>
    <row r="44" spans="1:18" ht="12.75">
      <c r="A44" s="39" t="s">
        <v>119</v>
      </c>
      <c r="B44" s="35" t="s">
        <v>126</v>
      </c>
      <c r="C44" s="36" t="s">
        <v>127</v>
      </c>
      <c r="D44" s="233">
        <v>1.512</v>
      </c>
      <c r="E44" s="244">
        <f t="shared" si="0"/>
        <v>44.39405793103449</v>
      </c>
      <c r="F44" s="37">
        <v>795.54</v>
      </c>
      <c r="G44" s="333">
        <v>422.63</v>
      </c>
      <c r="H44" s="322">
        <f t="shared" si="1"/>
        <v>372.90999999999997</v>
      </c>
      <c r="I44" s="37"/>
      <c r="J44" s="37"/>
      <c r="K44" s="37">
        <v>355.15</v>
      </c>
      <c r="L44" s="37"/>
      <c r="M44" s="37">
        <v>250</v>
      </c>
      <c r="N44" s="37"/>
      <c r="O44" s="100" t="s">
        <v>271</v>
      </c>
      <c r="P44" s="118">
        <v>3206953335</v>
      </c>
      <c r="Q44" s="322">
        <f t="shared" si="3"/>
        <v>49.72000000000003</v>
      </c>
      <c r="R44" s="344"/>
    </row>
    <row r="45" spans="1:18" ht="12.75">
      <c r="A45" s="39" t="s">
        <v>122</v>
      </c>
      <c r="B45" s="35" t="s">
        <v>123</v>
      </c>
      <c r="C45" s="36" t="s">
        <v>124</v>
      </c>
      <c r="D45" s="233">
        <v>0.781</v>
      </c>
      <c r="E45" s="244">
        <f t="shared" si="0"/>
        <v>22.931057701149427</v>
      </c>
      <c r="F45" s="37">
        <v>51.37</v>
      </c>
      <c r="G45" s="333">
        <v>51.37</v>
      </c>
      <c r="H45" s="322">
        <f t="shared" si="1"/>
        <v>0</v>
      </c>
      <c r="I45" s="37"/>
      <c r="J45" s="37"/>
      <c r="K45" s="37">
        <v>160.52</v>
      </c>
      <c r="L45" s="37"/>
      <c r="M45" s="37"/>
      <c r="N45" s="37"/>
      <c r="O45" s="100" t="s">
        <v>271</v>
      </c>
      <c r="P45" s="118">
        <v>3213573925</v>
      </c>
      <c r="Q45" s="322">
        <f t="shared" si="3"/>
        <v>51.37</v>
      </c>
      <c r="R45" s="344"/>
    </row>
    <row r="46" spans="1:18" ht="12.75">
      <c r="A46" s="39" t="s">
        <v>125</v>
      </c>
      <c r="B46" s="35" t="s">
        <v>148</v>
      </c>
      <c r="C46" s="36" t="s">
        <v>149</v>
      </c>
      <c r="D46" s="233">
        <v>1.3</v>
      </c>
      <c r="E46" s="244">
        <f t="shared" si="0"/>
        <v>38.16949425287356</v>
      </c>
      <c r="F46" s="37">
        <v>277.87</v>
      </c>
      <c r="G46" s="333">
        <v>197.72</v>
      </c>
      <c r="H46" s="322">
        <f t="shared" si="1"/>
        <v>80.15</v>
      </c>
      <c r="I46" s="37"/>
      <c r="J46" s="37"/>
      <c r="K46" s="37">
        <v>305.36</v>
      </c>
      <c r="L46" s="37"/>
      <c r="M46" s="37">
        <v>857</v>
      </c>
      <c r="N46" s="37"/>
      <c r="O46" s="100" t="s">
        <v>277</v>
      </c>
      <c r="P46" s="118">
        <v>3206045226</v>
      </c>
      <c r="Q46" s="322">
        <f t="shared" si="3"/>
        <v>117.57</v>
      </c>
      <c r="R46" s="344"/>
    </row>
    <row r="47" spans="1:18" ht="12.75">
      <c r="A47" s="39" t="s">
        <v>128</v>
      </c>
      <c r="B47" s="35" t="s">
        <v>132</v>
      </c>
      <c r="C47" s="36" t="s">
        <v>133</v>
      </c>
      <c r="D47" s="233">
        <v>1.463</v>
      </c>
      <c r="E47" s="244">
        <f t="shared" si="0"/>
        <v>42.95536160919541</v>
      </c>
      <c r="F47" s="37">
        <v>338.15</v>
      </c>
      <c r="G47" s="333">
        <v>144.92</v>
      </c>
      <c r="H47" s="322">
        <f t="shared" si="1"/>
        <v>193.23</v>
      </c>
      <c r="I47" s="37"/>
      <c r="J47" s="37"/>
      <c r="K47" s="37">
        <v>345.05</v>
      </c>
      <c r="L47" s="37"/>
      <c r="M47" s="37">
        <v>560</v>
      </c>
      <c r="N47" s="37"/>
      <c r="O47" s="100" t="s">
        <v>271</v>
      </c>
      <c r="P47" s="118">
        <v>3204010409</v>
      </c>
      <c r="Q47" s="322">
        <f t="shared" si="3"/>
        <v>-48.31</v>
      </c>
      <c r="R47" s="344">
        <f>G47+Q47</f>
        <v>96.60999999999999</v>
      </c>
    </row>
    <row r="48" spans="1:18" ht="12.75">
      <c r="A48" s="39" t="s">
        <v>131</v>
      </c>
      <c r="B48" s="35" t="s">
        <v>135</v>
      </c>
      <c r="C48" s="36" t="s">
        <v>136</v>
      </c>
      <c r="D48" s="233">
        <v>1.35</v>
      </c>
      <c r="E48" s="244">
        <f t="shared" si="0"/>
        <v>39.637551724137936</v>
      </c>
      <c r="F48" s="37">
        <v>199.78</v>
      </c>
      <c r="G48" s="333">
        <f>44.39+110.99</f>
        <v>155.38</v>
      </c>
      <c r="H48" s="325">
        <f t="shared" si="1"/>
        <v>44.400000000000006</v>
      </c>
      <c r="I48" s="37">
        <v>713.48</v>
      </c>
      <c r="J48" s="37"/>
      <c r="K48" s="37">
        <v>317.1</v>
      </c>
      <c r="L48" s="37"/>
      <c r="M48" s="37">
        <v>250</v>
      </c>
      <c r="N48" s="43"/>
      <c r="O48" s="100" t="s">
        <v>271</v>
      </c>
      <c r="P48" s="118">
        <v>3206725631</v>
      </c>
      <c r="Q48" s="325">
        <f t="shared" si="3"/>
        <v>110.97999999999999</v>
      </c>
      <c r="R48" s="344"/>
    </row>
    <row r="49" spans="1:18" ht="12.75" hidden="1">
      <c r="A49" s="70"/>
      <c r="B49" s="71"/>
      <c r="C49" s="72"/>
      <c r="D49" s="189"/>
      <c r="E49" s="237"/>
      <c r="F49" s="73"/>
      <c r="G49" s="335"/>
      <c r="H49" s="326"/>
      <c r="I49" s="73"/>
      <c r="J49" s="73"/>
      <c r="K49" s="73"/>
      <c r="L49" s="73"/>
      <c r="M49" s="73"/>
      <c r="N49" s="73"/>
      <c r="O49" s="311"/>
      <c r="P49" s="113"/>
      <c r="Q49" s="326"/>
      <c r="R49" s="346"/>
    </row>
    <row r="50" spans="1:18" ht="12.75" hidden="1">
      <c r="A50" s="70"/>
      <c r="B50" s="71"/>
      <c r="C50" s="72"/>
      <c r="D50" s="189"/>
      <c r="E50" s="237"/>
      <c r="F50" s="73"/>
      <c r="G50" s="335"/>
      <c r="H50" s="327"/>
      <c r="I50" s="73"/>
      <c r="J50" s="73"/>
      <c r="K50" s="73"/>
      <c r="L50" s="73"/>
      <c r="M50" s="73"/>
      <c r="N50" s="73"/>
      <c r="O50" s="311"/>
      <c r="P50" s="113"/>
      <c r="Q50" s="327"/>
      <c r="R50" s="347"/>
    </row>
    <row r="51" spans="1:18" ht="12.75" hidden="1">
      <c r="A51" s="317"/>
      <c r="B51" s="82"/>
      <c r="C51" s="161"/>
      <c r="D51" s="318"/>
      <c r="E51" s="319"/>
      <c r="F51" s="320"/>
      <c r="G51" s="336"/>
      <c r="H51" s="328"/>
      <c r="I51" s="320"/>
      <c r="J51" s="320"/>
      <c r="K51" s="320"/>
      <c r="L51" s="320"/>
      <c r="M51" s="320"/>
      <c r="N51" s="320"/>
      <c r="O51" s="311"/>
      <c r="P51" s="113"/>
      <c r="Q51" s="328"/>
      <c r="R51" s="348"/>
    </row>
    <row r="52" spans="1:19" s="297" customFormat="1" ht="50.25" customHeight="1" hidden="1">
      <c r="A52" s="312" t="s">
        <v>292</v>
      </c>
      <c r="B52" s="312" t="s">
        <v>17</v>
      </c>
      <c r="C52" s="312" t="s">
        <v>254</v>
      </c>
      <c r="D52" s="313" t="s">
        <v>290</v>
      </c>
      <c r="E52" s="314" t="s">
        <v>392</v>
      </c>
      <c r="F52" s="315" t="s">
        <v>396</v>
      </c>
      <c r="G52" s="337" t="s">
        <v>414</v>
      </c>
      <c r="H52" s="329" t="s">
        <v>413</v>
      </c>
      <c r="I52" s="316" t="s">
        <v>397</v>
      </c>
      <c r="J52" s="312" t="s">
        <v>398</v>
      </c>
      <c r="K52" s="315" t="s">
        <v>399</v>
      </c>
      <c r="L52" s="312" t="s">
        <v>400</v>
      </c>
      <c r="M52" s="312" t="s">
        <v>401</v>
      </c>
      <c r="N52" s="312"/>
      <c r="O52" s="295" t="s">
        <v>270</v>
      </c>
      <c r="P52" s="290" t="s">
        <v>280</v>
      </c>
      <c r="Q52" s="324" t="s">
        <v>415</v>
      </c>
      <c r="R52" s="324" t="s">
        <v>416</v>
      </c>
      <c r="S52" s="28"/>
    </row>
    <row r="53" spans="1:18" ht="12.75">
      <c r="A53" s="39" t="s">
        <v>134</v>
      </c>
      <c r="B53" s="35" t="s">
        <v>216</v>
      </c>
      <c r="C53" s="36" t="s">
        <v>217</v>
      </c>
      <c r="D53" s="233">
        <v>1.294</v>
      </c>
      <c r="E53" s="244">
        <f aca="true" t="shared" si="4" ref="E53:E88">D53*5108.84/174</f>
        <v>37.99332735632184</v>
      </c>
      <c r="F53" s="37">
        <v>457.44</v>
      </c>
      <c r="G53" s="333">
        <v>223.4</v>
      </c>
      <c r="H53" s="322">
        <f t="shared" si="1"/>
        <v>234.04</v>
      </c>
      <c r="I53" s="37"/>
      <c r="J53" s="37"/>
      <c r="K53" s="37">
        <v>303.95</v>
      </c>
      <c r="L53" s="37"/>
      <c r="M53" s="37">
        <v>250</v>
      </c>
      <c r="N53" s="37"/>
      <c r="O53" s="100" t="s">
        <v>275</v>
      </c>
      <c r="P53" s="118">
        <v>3220513030</v>
      </c>
      <c r="Q53" s="322">
        <f>G53-H53</f>
        <v>-10.639999999999986</v>
      </c>
      <c r="R53" s="344">
        <f>G53+Q53</f>
        <v>212.76000000000002</v>
      </c>
    </row>
    <row r="54" spans="1:18" ht="12.75" hidden="1">
      <c r="A54" s="39" t="s">
        <v>137</v>
      </c>
      <c r="B54" s="35" t="s">
        <v>138</v>
      </c>
      <c r="C54" s="36" t="s">
        <v>139</v>
      </c>
      <c r="D54" s="233">
        <v>1.443</v>
      </c>
      <c r="E54" s="244">
        <f t="shared" si="4"/>
        <v>42.368138620689656</v>
      </c>
      <c r="F54" s="37"/>
      <c r="G54" s="333"/>
      <c r="H54" s="322"/>
      <c r="I54" s="37"/>
      <c r="J54" s="37"/>
      <c r="K54" s="37">
        <v>338.95</v>
      </c>
      <c r="L54" s="37"/>
      <c r="M54" s="37">
        <v>250</v>
      </c>
      <c r="N54" s="37"/>
      <c r="O54" s="100" t="s">
        <v>271</v>
      </c>
      <c r="P54" s="118">
        <v>3204015058</v>
      </c>
      <c r="Q54" s="322"/>
      <c r="R54" s="344">
        <f>G54+Q54</f>
        <v>0</v>
      </c>
    </row>
    <row r="55" spans="1:19" s="203" customFormat="1" ht="12.75" hidden="1">
      <c r="A55" s="39" t="s">
        <v>140</v>
      </c>
      <c r="B55" s="273" t="s">
        <v>296</v>
      </c>
      <c r="C55" s="274" t="s">
        <v>142</v>
      </c>
      <c r="D55" s="275">
        <v>0</v>
      </c>
      <c r="E55" s="244">
        <f t="shared" si="4"/>
        <v>0</v>
      </c>
      <c r="F55" s="198"/>
      <c r="G55" s="334"/>
      <c r="H55" s="322"/>
      <c r="I55" s="198"/>
      <c r="J55" s="198"/>
      <c r="K55" s="37"/>
      <c r="L55" s="198"/>
      <c r="M55" s="198"/>
      <c r="N55" s="198"/>
      <c r="O55" s="272" t="s">
        <v>271</v>
      </c>
      <c r="P55" s="276">
        <v>3202927758</v>
      </c>
      <c r="Q55" s="322"/>
      <c r="R55" s="344">
        <f>G55+Q55</f>
        <v>0</v>
      </c>
      <c r="S55" s="28"/>
    </row>
    <row r="56" spans="1:19" s="203" customFormat="1" ht="12.75">
      <c r="A56" s="39" t="s">
        <v>143</v>
      </c>
      <c r="B56" s="273" t="s">
        <v>390</v>
      </c>
      <c r="C56" s="274"/>
      <c r="D56" s="275">
        <v>1.065</v>
      </c>
      <c r="E56" s="244">
        <f t="shared" si="4"/>
        <v>31.269624137931036</v>
      </c>
      <c r="F56" s="198">
        <v>166.35</v>
      </c>
      <c r="G56" s="334">
        <v>96.31</v>
      </c>
      <c r="H56" s="322">
        <f t="shared" si="1"/>
        <v>70.03999999999999</v>
      </c>
      <c r="I56" s="198"/>
      <c r="J56" s="198"/>
      <c r="K56" s="37">
        <v>250.16</v>
      </c>
      <c r="L56" s="198"/>
      <c r="M56" s="198">
        <v>580</v>
      </c>
      <c r="N56" s="198"/>
      <c r="O56" s="272"/>
      <c r="P56" s="276"/>
      <c r="Q56" s="322">
        <f>G56-H56</f>
        <v>26.27000000000001</v>
      </c>
      <c r="R56" s="344"/>
      <c r="S56" s="28"/>
    </row>
    <row r="57" spans="1:18" ht="12.75" hidden="1">
      <c r="A57" s="39" t="s">
        <v>144</v>
      </c>
      <c r="B57" s="35" t="s">
        <v>145</v>
      </c>
      <c r="C57" s="36" t="s">
        <v>146</v>
      </c>
      <c r="D57" s="233">
        <v>1.456</v>
      </c>
      <c r="E57" s="244">
        <f t="shared" si="4"/>
        <v>42.749833563218395</v>
      </c>
      <c r="F57" s="37"/>
      <c r="G57" s="334"/>
      <c r="H57" s="322"/>
      <c r="I57" s="37">
        <v>769.5</v>
      </c>
      <c r="J57" s="37"/>
      <c r="K57" s="37">
        <v>342</v>
      </c>
      <c r="L57" s="37"/>
      <c r="M57" s="37">
        <v>250</v>
      </c>
      <c r="N57" s="37"/>
      <c r="O57" s="100" t="s">
        <v>271</v>
      </c>
      <c r="P57" s="118">
        <v>3203992312</v>
      </c>
      <c r="Q57" s="322"/>
      <c r="R57" s="344"/>
    </row>
    <row r="58" spans="1:18" ht="12.75">
      <c r="A58" s="39" t="s">
        <v>147</v>
      </c>
      <c r="B58" s="35" t="s">
        <v>240</v>
      </c>
      <c r="C58" s="36" t="s">
        <v>241</v>
      </c>
      <c r="D58" s="233">
        <v>1.256</v>
      </c>
      <c r="E58" s="244">
        <f t="shared" si="4"/>
        <v>36.87760367816092</v>
      </c>
      <c r="F58" s="37">
        <v>268.47</v>
      </c>
      <c r="G58" s="334">
        <v>227.17</v>
      </c>
      <c r="H58" s="322">
        <f t="shared" si="1"/>
        <v>41.30000000000004</v>
      </c>
      <c r="I58" s="37"/>
      <c r="J58" s="37"/>
      <c r="K58" s="37">
        <v>295.02</v>
      </c>
      <c r="L58" s="37"/>
      <c r="M58" s="37">
        <v>726</v>
      </c>
      <c r="N58" s="37"/>
      <c r="O58" s="100" t="s">
        <v>271</v>
      </c>
      <c r="P58" s="118">
        <v>3205778577</v>
      </c>
      <c r="Q58" s="322">
        <f>G58-H58</f>
        <v>185.86999999999995</v>
      </c>
      <c r="R58" s="344"/>
    </row>
    <row r="59" spans="1:18" ht="12.75">
      <c r="A59" s="39" t="s">
        <v>150</v>
      </c>
      <c r="B59" s="35" t="s">
        <v>129</v>
      </c>
      <c r="C59" s="36" t="s">
        <v>130</v>
      </c>
      <c r="D59" s="233">
        <v>1.742</v>
      </c>
      <c r="E59" s="244">
        <f t="shared" si="4"/>
        <v>51.147122298850576</v>
      </c>
      <c r="F59" s="37">
        <f>951.81/23*21</f>
        <v>869.0439130434781</v>
      </c>
      <c r="G59" s="338">
        <v>438.72</v>
      </c>
      <c r="H59" s="322">
        <f t="shared" si="1"/>
        <v>430.3239130434781</v>
      </c>
      <c r="I59" s="32">
        <f>1150.81/23*21</f>
        <v>1050.7395652173911</v>
      </c>
      <c r="J59" s="37"/>
      <c r="K59" s="37">
        <f>424.91/23*21</f>
        <v>387.9613043478261</v>
      </c>
      <c r="L59" s="37"/>
      <c r="M59" s="37">
        <v>250</v>
      </c>
      <c r="N59" s="37"/>
      <c r="O59" s="100" t="s">
        <v>274</v>
      </c>
      <c r="P59" s="118">
        <v>3201085013</v>
      </c>
      <c r="Q59" s="322">
        <f>G59-H59</f>
        <v>8.396086956521913</v>
      </c>
      <c r="R59" s="344"/>
    </row>
    <row r="60" spans="1:18" ht="12.75">
      <c r="A60" s="39" t="s">
        <v>153</v>
      </c>
      <c r="B60" s="35" t="s">
        <v>250</v>
      </c>
      <c r="C60" s="36" t="s">
        <v>46</v>
      </c>
      <c r="D60" s="233">
        <v>1.408</v>
      </c>
      <c r="E60" s="244">
        <f t="shared" si="4"/>
        <v>41.3404983908046</v>
      </c>
      <c r="F60" s="37">
        <v>138.9</v>
      </c>
      <c r="G60" s="334">
        <v>138.9</v>
      </c>
      <c r="H60" s="322">
        <f t="shared" si="1"/>
        <v>0</v>
      </c>
      <c r="I60" s="37"/>
      <c r="J60" s="37"/>
      <c r="K60" s="37">
        <v>330.72</v>
      </c>
      <c r="L60" s="37"/>
      <c r="M60" s="37">
        <v>600</v>
      </c>
      <c r="N60" s="37"/>
      <c r="O60" s="100" t="s">
        <v>271</v>
      </c>
      <c r="P60" s="118">
        <v>3204035547</v>
      </c>
      <c r="Q60" s="322">
        <f>G60-H60</f>
        <v>138.9</v>
      </c>
      <c r="R60" s="344"/>
    </row>
    <row r="61" spans="1:18" ht="12.75">
      <c r="A61" s="39" t="s">
        <v>156</v>
      </c>
      <c r="B61" s="35" t="s">
        <v>81</v>
      </c>
      <c r="C61" s="36" t="s">
        <v>82</v>
      </c>
      <c r="D61" s="233">
        <v>1.58</v>
      </c>
      <c r="E61" s="244">
        <f t="shared" si="4"/>
        <v>46.39061609195403</v>
      </c>
      <c r="F61" s="37">
        <f>64.95</f>
        <v>64.95</v>
      </c>
      <c r="G61" s="334">
        <v>64.95</v>
      </c>
      <c r="H61" s="322">
        <f t="shared" si="1"/>
        <v>0</v>
      </c>
      <c r="I61" s="37"/>
      <c r="J61" s="37"/>
      <c r="K61" s="37">
        <f>371.12/23*22</f>
        <v>354.98434782608695</v>
      </c>
      <c r="L61" s="37"/>
      <c r="M61" s="37"/>
      <c r="N61" s="37"/>
      <c r="O61" s="100" t="s">
        <v>274</v>
      </c>
      <c r="P61" s="118">
        <v>3201085021</v>
      </c>
      <c r="Q61" s="322">
        <f>G61-H61</f>
        <v>64.95</v>
      </c>
      <c r="R61" s="344"/>
    </row>
    <row r="62" spans="1:18" ht="12.75" hidden="1">
      <c r="A62" s="39" t="s">
        <v>157</v>
      </c>
      <c r="B62" s="35" t="s">
        <v>51</v>
      </c>
      <c r="C62" s="36" t="s">
        <v>52</v>
      </c>
      <c r="D62" s="233">
        <v>1.431</v>
      </c>
      <c r="E62" s="244">
        <f t="shared" si="4"/>
        <v>42.01580482758621</v>
      </c>
      <c r="F62" s="37"/>
      <c r="G62" s="334"/>
      <c r="H62" s="322"/>
      <c r="I62" s="37"/>
      <c r="J62" s="37"/>
      <c r="K62" s="37">
        <v>336.13</v>
      </c>
      <c r="L62" s="37"/>
      <c r="M62" s="37">
        <v>650</v>
      </c>
      <c r="N62" s="37"/>
      <c r="O62" s="100" t="s">
        <v>273</v>
      </c>
      <c r="P62" s="118">
        <v>3226742777</v>
      </c>
      <c r="Q62" s="322"/>
      <c r="R62" s="344"/>
    </row>
    <row r="63" spans="1:18" ht="12.75">
      <c r="A63" s="39" t="s">
        <v>160</v>
      </c>
      <c r="B63" s="273" t="s">
        <v>412</v>
      </c>
      <c r="C63" s="274" t="s">
        <v>211</v>
      </c>
      <c r="D63" s="275">
        <v>1.331</v>
      </c>
      <c r="E63" s="271">
        <f t="shared" si="4"/>
        <v>39.07968988505747</v>
      </c>
      <c r="F63" s="198">
        <v>284.5</v>
      </c>
      <c r="G63" s="334">
        <v>218.85</v>
      </c>
      <c r="H63" s="322">
        <f t="shared" si="1"/>
        <v>65.65</v>
      </c>
      <c r="I63" s="198"/>
      <c r="J63" s="198"/>
      <c r="K63" s="198">
        <v>312.64</v>
      </c>
      <c r="L63" s="198"/>
      <c r="M63" s="198">
        <v>250</v>
      </c>
      <c r="N63" s="37"/>
      <c r="O63" s="100" t="s">
        <v>276</v>
      </c>
      <c r="P63" s="118">
        <v>3242020709</v>
      </c>
      <c r="Q63" s="322">
        <f>G63-H63</f>
        <v>153.2</v>
      </c>
      <c r="R63" s="344"/>
    </row>
    <row r="64" spans="1:18" ht="12.75" hidden="1">
      <c r="A64" s="39" t="s">
        <v>161</v>
      </c>
      <c r="B64" s="273" t="s">
        <v>269</v>
      </c>
      <c r="C64" s="274" t="s">
        <v>281</v>
      </c>
      <c r="D64" s="275">
        <v>1.356</v>
      </c>
      <c r="E64" s="271">
        <f t="shared" si="4"/>
        <v>39.813718620689656</v>
      </c>
      <c r="F64" s="198"/>
      <c r="G64" s="334"/>
      <c r="H64" s="322"/>
      <c r="I64" s="37"/>
      <c r="J64" s="198"/>
      <c r="K64" s="198">
        <v>318.51</v>
      </c>
      <c r="L64" s="198"/>
      <c r="M64" s="198">
        <v>857</v>
      </c>
      <c r="N64" s="37"/>
      <c r="O64" s="100" t="s">
        <v>271</v>
      </c>
      <c r="P64" s="118">
        <v>3204133135</v>
      </c>
      <c r="Q64" s="322"/>
      <c r="R64" s="344">
        <f>G64+Q64</f>
        <v>0</v>
      </c>
    </row>
    <row r="65" spans="1:18" ht="12.75">
      <c r="A65" s="39" t="s">
        <v>164</v>
      </c>
      <c r="B65" s="35" t="s">
        <v>154</v>
      </c>
      <c r="C65" s="36" t="s">
        <v>155</v>
      </c>
      <c r="D65" s="233">
        <v>1.313</v>
      </c>
      <c r="E65" s="244">
        <f t="shared" si="4"/>
        <v>38.5511891954023</v>
      </c>
      <c r="F65" s="37">
        <v>607.24</v>
      </c>
      <c r="G65" s="334">
        <v>260.25</v>
      </c>
      <c r="H65" s="322">
        <f t="shared" si="1"/>
        <v>346.99</v>
      </c>
      <c r="I65" s="37"/>
      <c r="J65" s="37">
        <v>465.12</v>
      </c>
      <c r="K65" s="37">
        <v>309.82</v>
      </c>
      <c r="L65" s="37"/>
      <c r="M65" s="37">
        <v>990.09</v>
      </c>
      <c r="N65" s="37"/>
      <c r="O65" s="100" t="s">
        <v>271</v>
      </c>
      <c r="P65" s="118">
        <v>3204198345</v>
      </c>
      <c r="Q65" s="322">
        <f>G65-H65</f>
        <v>-86.74000000000001</v>
      </c>
      <c r="R65" s="344">
        <f>G65+Q65</f>
        <v>173.51</v>
      </c>
    </row>
    <row r="66" spans="1:18" ht="12.75" hidden="1">
      <c r="A66" s="39" t="s">
        <v>167</v>
      </c>
      <c r="B66" s="35" t="s">
        <v>158</v>
      </c>
      <c r="C66" s="36" t="s">
        <v>159</v>
      </c>
      <c r="D66" s="233">
        <v>1.381</v>
      </c>
      <c r="E66" s="244">
        <f t="shared" si="4"/>
        <v>40.547747356321835</v>
      </c>
      <c r="F66" s="37"/>
      <c r="G66" s="334"/>
      <c r="H66" s="322"/>
      <c r="I66" s="37"/>
      <c r="J66" s="37"/>
      <c r="K66" s="37">
        <v>337.54</v>
      </c>
      <c r="L66" s="37"/>
      <c r="M66" s="37">
        <v>580</v>
      </c>
      <c r="N66" s="37"/>
      <c r="O66" s="100" t="s">
        <v>273</v>
      </c>
      <c r="P66" s="118">
        <v>3234621398</v>
      </c>
      <c r="Q66" s="322"/>
      <c r="R66" s="344"/>
    </row>
    <row r="67" spans="1:18" ht="12.75" hidden="1">
      <c r="A67" s="39" t="s">
        <v>170</v>
      </c>
      <c r="B67" s="35" t="s">
        <v>162</v>
      </c>
      <c r="C67" s="36" t="s">
        <v>163</v>
      </c>
      <c r="D67" s="233">
        <v>1.269</v>
      </c>
      <c r="E67" s="244">
        <f t="shared" si="4"/>
        <v>37.259298620689655</v>
      </c>
      <c r="F67" s="37"/>
      <c r="G67" s="334"/>
      <c r="H67" s="322"/>
      <c r="I67" s="37"/>
      <c r="J67" s="37"/>
      <c r="K67" s="37">
        <v>119.23</v>
      </c>
      <c r="L67" s="37"/>
      <c r="M67" s="37">
        <v>250</v>
      </c>
      <c r="N67" s="37"/>
      <c r="O67" s="100" t="s">
        <v>271</v>
      </c>
      <c r="P67" s="118">
        <v>3204240808</v>
      </c>
      <c r="Q67" s="322"/>
      <c r="R67" s="344"/>
    </row>
    <row r="68" spans="1:18" ht="12.75" hidden="1">
      <c r="A68" s="39" t="s">
        <v>173</v>
      </c>
      <c r="B68" s="35" t="s">
        <v>232</v>
      </c>
      <c r="C68" s="36" t="s">
        <v>233</v>
      </c>
      <c r="D68" s="233">
        <v>1.463</v>
      </c>
      <c r="E68" s="244">
        <f t="shared" si="4"/>
        <v>42.95536160919541</v>
      </c>
      <c r="F68" s="37"/>
      <c r="G68" s="333"/>
      <c r="H68" s="322"/>
      <c r="I68" s="37"/>
      <c r="J68" s="37"/>
      <c r="K68" s="37">
        <v>138.02</v>
      </c>
      <c r="L68" s="37"/>
      <c r="M68" s="37">
        <v>250</v>
      </c>
      <c r="N68" s="37"/>
      <c r="O68" s="100" t="s">
        <v>271</v>
      </c>
      <c r="P68" s="118">
        <v>3203978191</v>
      </c>
      <c r="Q68" s="322"/>
      <c r="R68" s="344"/>
    </row>
    <row r="69" spans="1:18" ht="12.75" hidden="1">
      <c r="A69" s="39" t="s">
        <v>176</v>
      </c>
      <c r="B69" s="35" t="s">
        <v>165</v>
      </c>
      <c r="C69" s="36" t="s">
        <v>166</v>
      </c>
      <c r="D69" s="233">
        <v>1.443</v>
      </c>
      <c r="E69" s="244">
        <f t="shared" si="4"/>
        <v>42.368138620689656</v>
      </c>
      <c r="F69" s="37"/>
      <c r="G69" s="333"/>
      <c r="H69" s="322"/>
      <c r="I69" s="37"/>
      <c r="J69" s="37"/>
      <c r="K69" s="37">
        <v>67.79</v>
      </c>
      <c r="L69" s="37"/>
      <c r="M69" s="37"/>
      <c r="N69" s="37"/>
      <c r="O69" s="100" t="s">
        <v>271</v>
      </c>
      <c r="P69" s="118">
        <v>3204197043</v>
      </c>
      <c r="Q69" s="322"/>
      <c r="R69" s="344"/>
    </row>
    <row r="70" spans="1:18" ht="12.75" hidden="1">
      <c r="A70" s="39" t="s">
        <v>179</v>
      </c>
      <c r="B70" s="35" t="s">
        <v>168</v>
      </c>
      <c r="C70" s="36" t="s">
        <v>169</v>
      </c>
      <c r="D70" s="233">
        <v>1.344</v>
      </c>
      <c r="E70" s="244">
        <f t="shared" si="4"/>
        <v>39.461384827586215</v>
      </c>
      <c r="F70" s="37"/>
      <c r="G70" s="333"/>
      <c r="H70" s="322"/>
      <c r="I70" s="37"/>
      <c r="J70" s="37"/>
      <c r="K70" s="37">
        <v>63.14</v>
      </c>
      <c r="L70" s="37"/>
      <c r="M70" s="37">
        <v>350</v>
      </c>
      <c r="N70" s="37"/>
      <c r="O70" s="100" t="s">
        <v>271</v>
      </c>
      <c r="P70" s="118">
        <v>3204079515</v>
      </c>
      <c r="Q70" s="322"/>
      <c r="R70" s="344"/>
    </row>
    <row r="71" spans="1:18" ht="12.75">
      <c r="A71" s="39" t="s">
        <v>182</v>
      </c>
      <c r="B71" s="35" t="s">
        <v>171</v>
      </c>
      <c r="C71" s="36" t="s">
        <v>172</v>
      </c>
      <c r="D71" s="233">
        <v>1.281</v>
      </c>
      <c r="E71" s="244">
        <f t="shared" si="4"/>
        <v>37.6116324137931</v>
      </c>
      <c r="F71" s="37">
        <v>105.31</v>
      </c>
      <c r="G71" s="333">
        <v>105.313</v>
      </c>
      <c r="H71" s="322">
        <f t="shared" si="1"/>
        <v>-0.0030000000000001137</v>
      </c>
      <c r="I71" s="37">
        <v>687.6</v>
      </c>
      <c r="J71" s="37"/>
      <c r="K71" s="37">
        <v>263.28</v>
      </c>
      <c r="L71" s="37"/>
      <c r="M71" s="37">
        <v>400</v>
      </c>
      <c r="N71" s="37"/>
      <c r="O71" s="100" t="s">
        <v>271</v>
      </c>
      <c r="P71" s="118">
        <v>3209023009</v>
      </c>
      <c r="Q71" s="322"/>
      <c r="R71" s="344"/>
    </row>
    <row r="72" spans="1:18" ht="12.75" hidden="1">
      <c r="A72" s="39" t="s">
        <v>185</v>
      </c>
      <c r="B72" s="35" t="s">
        <v>230</v>
      </c>
      <c r="C72" s="36" t="s">
        <v>231</v>
      </c>
      <c r="D72" s="233">
        <v>1.282</v>
      </c>
      <c r="E72" s="244">
        <f t="shared" si="4"/>
        <v>37.640993563218395</v>
      </c>
      <c r="F72" s="37"/>
      <c r="G72" s="333"/>
      <c r="H72" s="322"/>
      <c r="I72" s="37"/>
      <c r="J72" s="37"/>
      <c r="K72" s="37"/>
      <c r="L72" s="37"/>
      <c r="M72" s="37">
        <v>250</v>
      </c>
      <c r="N72" s="37"/>
      <c r="O72" s="100" t="s">
        <v>271</v>
      </c>
      <c r="P72" s="118">
        <v>3203942467</v>
      </c>
      <c r="Q72" s="322"/>
      <c r="R72" s="344"/>
    </row>
    <row r="73" spans="1:18" ht="12.75" hidden="1">
      <c r="A73" s="39" t="s">
        <v>188</v>
      </c>
      <c r="B73" s="35" t="s">
        <v>289</v>
      </c>
      <c r="C73" s="36" t="s">
        <v>388</v>
      </c>
      <c r="D73" s="233">
        <v>1.289</v>
      </c>
      <c r="E73" s="244">
        <f t="shared" si="4"/>
        <v>37.8465216091954</v>
      </c>
      <c r="F73" s="37"/>
      <c r="G73" s="333"/>
      <c r="H73" s="322"/>
      <c r="I73" s="37"/>
      <c r="J73" s="37"/>
      <c r="K73" s="37"/>
      <c r="L73" s="37"/>
      <c r="M73" s="37"/>
      <c r="N73" s="37"/>
      <c r="O73" s="100" t="s">
        <v>277</v>
      </c>
      <c r="P73" s="118">
        <v>3206949158</v>
      </c>
      <c r="Q73" s="322"/>
      <c r="R73" s="344"/>
    </row>
    <row r="74" spans="1:18" ht="12.75" hidden="1">
      <c r="A74" s="39" t="s">
        <v>191</v>
      </c>
      <c r="B74" s="35" t="s">
        <v>234</v>
      </c>
      <c r="C74" s="36" t="s">
        <v>235</v>
      </c>
      <c r="D74" s="233">
        <v>1.131</v>
      </c>
      <c r="E74" s="244">
        <f t="shared" si="4"/>
        <v>33.20746</v>
      </c>
      <c r="F74" s="37"/>
      <c r="G74" s="333"/>
      <c r="H74" s="322"/>
      <c r="I74" s="37"/>
      <c r="J74" s="37"/>
      <c r="K74" s="37"/>
      <c r="L74" s="37"/>
      <c r="M74" s="37"/>
      <c r="N74" s="37"/>
      <c r="O74" s="100" t="s">
        <v>271</v>
      </c>
      <c r="P74" s="118">
        <v>3204010505</v>
      </c>
      <c r="Q74" s="322"/>
      <c r="R74" s="344"/>
    </row>
    <row r="75" spans="1:18" ht="12.75" hidden="1">
      <c r="A75" s="39" t="s">
        <v>194</v>
      </c>
      <c r="B75" s="35" t="s">
        <v>174</v>
      </c>
      <c r="C75" s="36" t="s">
        <v>175</v>
      </c>
      <c r="D75" s="233">
        <v>1.054</v>
      </c>
      <c r="E75" s="244">
        <f t="shared" si="4"/>
        <v>30.946651494252876</v>
      </c>
      <c r="F75" s="37"/>
      <c r="G75" s="333"/>
      <c r="H75" s="322"/>
      <c r="I75" s="37"/>
      <c r="J75" s="37"/>
      <c r="K75" s="37">
        <v>252.27</v>
      </c>
      <c r="L75" s="37"/>
      <c r="M75" s="37"/>
      <c r="N75" s="37"/>
      <c r="O75" s="100" t="s">
        <v>271</v>
      </c>
      <c r="P75" s="118">
        <v>3204010100</v>
      </c>
      <c r="Q75" s="322"/>
      <c r="R75" s="344"/>
    </row>
    <row r="76" spans="1:18" ht="12.75" hidden="1">
      <c r="A76" s="39" t="s">
        <v>197</v>
      </c>
      <c r="B76" s="35" t="s">
        <v>180</v>
      </c>
      <c r="C76" s="36" t="s">
        <v>181</v>
      </c>
      <c r="D76" s="233">
        <v>0.688</v>
      </c>
      <c r="E76" s="244">
        <f t="shared" si="4"/>
        <v>20.2004708045977</v>
      </c>
      <c r="F76" s="37"/>
      <c r="G76" s="333"/>
      <c r="H76" s="322"/>
      <c r="I76" s="37"/>
      <c r="J76" s="37"/>
      <c r="K76" s="37">
        <v>168.89</v>
      </c>
      <c r="L76" s="37"/>
      <c r="M76" s="37">
        <v>250</v>
      </c>
      <c r="N76" s="37"/>
      <c r="O76" s="100" t="s">
        <v>271</v>
      </c>
      <c r="P76" s="118">
        <v>3204016235</v>
      </c>
      <c r="Q76" s="322"/>
      <c r="R76" s="344"/>
    </row>
    <row r="77" spans="1:18" ht="12.75" hidden="1">
      <c r="A77" s="39" t="s">
        <v>200</v>
      </c>
      <c r="B77" s="35" t="s">
        <v>409</v>
      </c>
      <c r="C77" s="36" t="s">
        <v>208</v>
      </c>
      <c r="D77" s="233">
        <v>0.688</v>
      </c>
      <c r="E77" s="244">
        <f t="shared" si="4"/>
        <v>20.2004708045977</v>
      </c>
      <c r="F77" s="37"/>
      <c r="G77" s="333"/>
      <c r="H77" s="322"/>
      <c r="I77" s="37"/>
      <c r="J77" s="37"/>
      <c r="K77" s="37">
        <f>168.18</f>
        <v>168.18</v>
      </c>
      <c r="L77" s="37"/>
      <c r="M77" s="37">
        <v>250</v>
      </c>
      <c r="N77" s="37"/>
      <c r="O77" s="277" t="s">
        <v>278</v>
      </c>
      <c r="P77" s="118">
        <v>3203218021</v>
      </c>
      <c r="Q77" s="322"/>
      <c r="R77" s="344"/>
    </row>
    <row r="78" spans="1:18" ht="12.75" hidden="1">
      <c r="A78" s="39" t="s">
        <v>203</v>
      </c>
      <c r="B78" s="35" t="s">
        <v>183</v>
      </c>
      <c r="C78" s="36" t="s">
        <v>184</v>
      </c>
      <c r="D78" s="233">
        <v>0.182</v>
      </c>
      <c r="E78" s="244">
        <f t="shared" si="4"/>
        <v>5.343729195402299</v>
      </c>
      <c r="F78" s="37"/>
      <c r="G78" s="333"/>
      <c r="H78" s="322"/>
      <c r="I78" s="37"/>
      <c r="J78" s="37"/>
      <c r="K78" s="37"/>
      <c r="L78" s="37"/>
      <c r="M78" s="37"/>
      <c r="N78" s="37"/>
      <c r="O78" s="100" t="s">
        <v>271</v>
      </c>
      <c r="P78" s="118">
        <v>3204072195</v>
      </c>
      <c r="Q78" s="322"/>
      <c r="R78" s="344"/>
    </row>
    <row r="79" spans="1:18" ht="12.75" hidden="1">
      <c r="A79" s="39" t="s">
        <v>206</v>
      </c>
      <c r="B79" s="35" t="s">
        <v>186</v>
      </c>
      <c r="C79" s="36" t="s">
        <v>187</v>
      </c>
      <c r="D79" s="233">
        <v>0.332</v>
      </c>
      <c r="E79" s="244">
        <f t="shared" si="4"/>
        <v>9.747901609195402</v>
      </c>
      <c r="F79" s="37"/>
      <c r="G79" s="333"/>
      <c r="H79" s="322"/>
      <c r="I79" s="37"/>
      <c r="J79" s="37"/>
      <c r="K79" s="37">
        <v>72.82</v>
      </c>
      <c r="L79" s="37"/>
      <c r="M79" s="37"/>
      <c r="N79" s="37"/>
      <c r="O79" s="100" t="s">
        <v>271</v>
      </c>
      <c r="P79" s="118">
        <v>3204079960</v>
      </c>
      <c r="Q79" s="322"/>
      <c r="R79" s="344"/>
    </row>
    <row r="80" spans="1:18" ht="12.75" hidden="1">
      <c r="A80" s="39" t="s">
        <v>209</v>
      </c>
      <c r="B80" s="35" t="s">
        <v>189</v>
      </c>
      <c r="C80" s="36" t="s">
        <v>190</v>
      </c>
      <c r="D80" s="233">
        <v>0.701</v>
      </c>
      <c r="E80" s="244">
        <f t="shared" si="4"/>
        <v>20.582165747126435</v>
      </c>
      <c r="F80" s="37"/>
      <c r="G80" s="333"/>
      <c r="H80" s="322"/>
      <c r="I80" s="37"/>
      <c r="J80" s="37"/>
      <c r="K80" s="37">
        <v>171.23</v>
      </c>
      <c r="L80" s="37"/>
      <c r="M80" s="37">
        <v>250</v>
      </c>
      <c r="N80" s="37"/>
      <c r="O80" s="100" t="s">
        <v>271</v>
      </c>
      <c r="P80" s="118">
        <v>3203970986</v>
      </c>
      <c r="Q80" s="322"/>
      <c r="R80" s="344"/>
    </row>
    <row r="81" spans="1:18" ht="12.75" hidden="1">
      <c r="A81" s="39" t="s">
        <v>212</v>
      </c>
      <c r="B81" s="35" t="s">
        <v>192</v>
      </c>
      <c r="C81" s="36" t="s">
        <v>193</v>
      </c>
      <c r="D81" s="233">
        <v>0.67</v>
      </c>
      <c r="E81" s="244">
        <f t="shared" si="4"/>
        <v>19.671970114942532</v>
      </c>
      <c r="F81" s="37"/>
      <c r="G81" s="333"/>
      <c r="H81" s="322"/>
      <c r="I81" s="37"/>
      <c r="J81" s="37"/>
      <c r="K81" s="37">
        <v>157.38</v>
      </c>
      <c r="L81" s="37"/>
      <c r="M81" s="37"/>
      <c r="N81" s="37"/>
      <c r="O81" s="100" t="s">
        <v>271</v>
      </c>
      <c r="P81" s="118">
        <v>3204067208</v>
      </c>
      <c r="Q81" s="322"/>
      <c r="R81" s="344"/>
    </row>
    <row r="82" spans="1:18" ht="12.75" hidden="1">
      <c r="A82" s="39" t="s">
        <v>215</v>
      </c>
      <c r="B82" s="35" t="s">
        <v>195</v>
      </c>
      <c r="C82" s="36" t="s">
        <v>196</v>
      </c>
      <c r="D82" s="233">
        <v>0.66</v>
      </c>
      <c r="E82" s="244">
        <f t="shared" si="4"/>
        <v>19.378358620689657</v>
      </c>
      <c r="F82" s="37"/>
      <c r="G82" s="333"/>
      <c r="H82" s="322"/>
      <c r="I82" s="37"/>
      <c r="J82" s="37"/>
      <c r="K82" s="37">
        <v>155.03</v>
      </c>
      <c r="L82" s="37"/>
      <c r="M82" s="37">
        <v>350</v>
      </c>
      <c r="N82" s="37"/>
      <c r="O82" s="100" t="s">
        <v>271</v>
      </c>
      <c r="P82" s="118">
        <v>3204142989</v>
      </c>
      <c r="Q82" s="322"/>
      <c r="R82" s="344"/>
    </row>
    <row r="83" spans="1:18" ht="12.75" hidden="1">
      <c r="A83" s="39" t="s">
        <v>218</v>
      </c>
      <c r="B83" s="35" t="s">
        <v>236</v>
      </c>
      <c r="C83" s="36" t="s">
        <v>237</v>
      </c>
      <c r="D83" s="233">
        <v>0.33</v>
      </c>
      <c r="E83" s="244">
        <f t="shared" si="4"/>
        <v>9.689179310344828</v>
      </c>
      <c r="F83" s="37"/>
      <c r="G83" s="333"/>
      <c r="H83" s="322"/>
      <c r="I83" s="37"/>
      <c r="J83" s="37"/>
      <c r="K83" s="37">
        <v>72.82</v>
      </c>
      <c r="L83" s="37"/>
      <c r="M83" s="37"/>
      <c r="N83" s="37"/>
      <c r="O83" s="100" t="s">
        <v>271</v>
      </c>
      <c r="P83" s="118">
        <v>3204169869</v>
      </c>
      <c r="Q83" s="322"/>
      <c r="R83" s="344"/>
    </row>
    <row r="84" spans="1:18" ht="12.75" hidden="1">
      <c r="A84" s="39" t="s">
        <v>219</v>
      </c>
      <c r="B84" s="35" t="s">
        <v>198</v>
      </c>
      <c r="C84" s="36" t="s">
        <v>199</v>
      </c>
      <c r="D84" s="233">
        <v>0.67</v>
      </c>
      <c r="E84" s="244">
        <f t="shared" si="4"/>
        <v>19.671970114942532</v>
      </c>
      <c r="F84" s="37"/>
      <c r="G84" s="333"/>
      <c r="H84" s="322"/>
      <c r="I84" s="37"/>
      <c r="J84" s="37"/>
      <c r="K84" s="37"/>
      <c r="L84" s="37"/>
      <c r="M84" s="37">
        <v>350</v>
      </c>
      <c r="N84" s="37"/>
      <c r="O84" s="100" t="s">
        <v>271</v>
      </c>
      <c r="P84" s="118">
        <v>3209666848</v>
      </c>
      <c r="Q84" s="322"/>
      <c r="R84" s="344"/>
    </row>
    <row r="85" spans="1:18" ht="12.75" hidden="1">
      <c r="A85" s="39" t="s">
        <v>220</v>
      </c>
      <c r="B85" s="35" t="s">
        <v>201</v>
      </c>
      <c r="C85" s="36" t="s">
        <v>202</v>
      </c>
      <c r="D85" s="233">
        <v>0.159</v>
      </c>
      <c r="E85" s="244">
        <f t="shared" si="4"/>
        <v>4.6684227586206895</v>
      </c>
      <c r="F85" s="37"/>
      <c r="G85" s="333"/>
      <c r="H85" s="322"/>
      <c r="I85" s="37"/>
      <c r="J85" s="37"/>
      <c r="K85" s="37"/>
      <c r="L85" s="37"/>
      <c r="M85" s="37"/>
      <c r="N85" s="37"/>
      <c r="O85" s="100" t="s">
        <v>271</v>
      </c>
      <c r="P85" s="118">
        <v>3212211696</v>
      </c>
      <c r="Q85" s="322"/>
      <c r="R85" s="344"/>
    </row>
    <row r="86" spans="1:18" ht="12.75" hidden="1">
      <c r="A86" s="39" t="s">
        <v>223</v>
      </c>
      <c r="B86" s="35" t="s">
        <v>242</v>
      </c>
      <c r="C86" s="36" t="s">
        <v>243</v>
      </c>
      <c r="D86" s="233">
        <v>0.318</v>
      </c>
      <c r="E86" s="244">
        <f t="shared" si="4"/>
        <v>9.336845517241379</v>
      </c>
      <c r="F86" s="37"/>
      <c r="G86" s="333"/>
      <c r="H86" s="322"/>
      <c r="I86" s="37"/>
      <c r="J86" s="37"/>
      <c r="K86" s="37">
        <v>72.82</v>
      </c>
      <c r="L86" s="37"/>
      <c r="M86" s="37">
        <v>600</v>
      </c>
      <c r="N86" s="37"/>
      <c r="O86" s="277" t="s">
        <v>279</v>
      </c>
      <c r="P86" s="118">
        <v>3200516734</v>
      </c>
      <c r="Q86" s="322"/>
      <c r="R86" s="344"/>
    </row>
    <row r="87" spans="1:18" ht="12.75" hidden="1">
      <c r="A87" s="39" t="s">
        <v>226</v>
      </c>
      <c r="B87" s="35" t="s">
        <v>204</v>
      </c>
      <c r="C87" s="36" t="s">
        <v>205</v>
      </c>
      <c r="D87" s="233">
        <v>0.884</v>
      </c>
      <c r="E87" s="244">
        <f t="shared" si="4"/>
        <v>25.955256091954023</v>
      </c>
      <c r="F87" s="37"/>
      <c r="G87" s="333"/>
      <c r="H87" s="322"/>
      <c r="I87" s="37"/>
      <c r="J87" s="37"/>
      <c r="K87" s="37">
        <v>215.86</v>
      </c>
      <c r="L87" s="37"/>
      <c r="M87" s="37">
        <v>650</v>
      </c>
      <c r="N87" s="37"/>
      <c r="O87" s="100" t="s">
        <v>271</v>
      </c>
      <c r="P87" s="118">
        <v>3204034361</v>
      </c>
      <c r="Q87" s="322"/>
      <c r="R87" s="344"/>
    </row>
    <row r="88" spans="1:18" ht="12.75" hidden="1">
      <c r="A88" s="39" t="s">
        <v>229</v>
      </c>
      <c r="B88" s="35" t="s">
        <v>411</v>
      </c>
      <c r="C88" s="35"/>
      <c r="D88" s="233">
        <v>1.275</v>
      </c>
      <c r="E88" s="244">
        <f t="shared" si="4"/>
        <v>37.435465517241376</v>
      </c>
      <c r="F88" s="35"/>
      <c r="G88" s="339"/>
      <c r="H88" s="322"/>
      <c r="I88" s="35"/>
      <c r="J88" s="35"/>
      <c r="K88" s="35"/>
      <c r="L88" s="35">
        <v>977.07</v>
      </c>
      <c r="M88" s="37">
        <v>560</v>
      </c>
      <c r="N88" s="35"/>
      <c r="O88" s="100"/>
      <c r="P88" s="118"/>
      <c r="Q88" s="322"/>
      <c r="R88" s="344"/>
    </row>
    <row r="89" spans="1:19" s="203" customFormat="1" ht="12.75">
      <c r="A89" s="39"/>
      <c r="B89" s="273"/>
      <c r="C89" s="274"/>
      <c r="D89" s="275"/>
      <c r="E89" s="271"/>
      <c r="F89" s="198"/>
      <c r="G89" s="334"/>
      <c r="H89" s="322"/>
      <c r="I89" s="198"/>
      <c r="J89" s="198"/>
      <c r="K89" s="198"/>
      <c r="L89" s="198"/>
      <c r="M89" s="198"/>
      <c r="N89" s="198"/>
      <c r="O89" s="272"/>
      <c r="P89" s="276"/>
      <c r="Q89" s="322"/>
      <c r="R89" s="344"/>
      <c r="S89" s="28"/>
    </row>
    <row r="90" spans="1:19" s="203" customFormat="1" ht="12.75" hidden="1">
      <c r="A90" s="39"/>
      <c r="B90" s="273" t="s">
        <v>238</v>
      </c>
      <c r="C90" s="274"/>
      <c r="D90" s="275"/>
      <c r="E90" s="271"/>
      <c r="F90" s="198"/>
      <c r="G90" s="334"/>
      <c r="H90" s="322"/>
      <c r="I90" s="198"/>
      <c r="J90" s="198"/>
      <c r="K90" s="198"/>
      <c r="L90" s="198"/>
      <c r="M90" s="198"/>
      <c r="N90" s="198"/>
      <c r="O90" s="272"/>
      <c r="P90" s="276"/>
      <c r="Q90" s="322"/>
      <c r="R90" s="344"/>
      <c r="S90" s="28" t="s">
        <v>419</v>
      </c>
    </row>
    <row r="91" spans="1:19" s="289" customFormat="1" ht="15.75" hidden="1">
      <c r="A91" s="280"/>
      <c r="B91" s="281" t="s">
        <v>238</v>
      </c>
      <c r="C91" s="282"/>
      <c r="D91" s="283"/>
      <c r="E91" s="284"/>
      <c r="F91" s="285">
        <f>SUM(F7:F87)</f>
        <v>13744.431304347829</v>
      </c>
      <c r="G91" s="340">
        <f>SUM(G5:G88)</f>
        <v>8488.333</v>
      </c>
      <c r="H91" s="322">
        <f>F91-G91</f>
        <v>5256.098304347828</v>
      </c>
      <c r="I91" s="285">
        <f>SUM(I7:I87)</f>
        <v>4786.479565217392</v>
      </c>
      <c r="J91" s="285">
        <f>SUM(J7:J87)</f>
        <v>465.12</v>
      </c>
      <c r="K91" s="285">
        <f>SUM(K7:K89)</f>
        <v>19291.86652173913</v>
      </c>
      <c r="L91" s="285">
        <f>SUM(L7:L87)</f>
        <v>3009.8</v>
      </c>
      <c r="M91" s="285">
        <f>SUM(M5:M89)</f>
        <v>28790.09</v>
      </c>
      <c r="N91" s="285"/>
      <c r="O91" s="286"/>
      <c r="P91" s="287"/>
      <c r="Q91" s="322">
        <f>G91-H91</f>
        <v>3232.2346956521724</v>
      </c>
      <c r="R91" s="344"/>
      <c r="S91" s="28" t="s">
        <v>420</v>
      </c>
    </row>
    <row r="97" spans="7:8" ht="12.75">
      <c r="G97" s="341"/>
      <c r="H97" s="330"/>
    </row>
    <row r="98" ht="12.75" hidden="1"/>
  </sheetData>
  <sheetProtection/>
  <printOptions/>
  <pageMargins left="0.7" right="0.7" top="0.31" bottom="0.2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08"/>
  <sheetViews>
    <sheetView zoomScalePageLayoutView="0" workbookViewId="0" topLeftCell="A46">
      <selection activeCell="B16" sqref="B16"/>
    </sheetView>
  </sheetViews>
  <sheetFormatPr defaultColWidth="9.140625" defaultRowHeight="15"/>
  <cols>
    <col min="1" max="1" width="4.421875" style="0" customWidth="1"/>
    <col min="2" max="2" width="17.7109375" style="0" customWidth="1"/>
    <col min="3" max="3" width="4.421875" style="0" customWidth="1"/>
    <col min="4" max="4" width="15.8515625" style="0" customWidth="1"/>
    <col min="5" max="5" width="14.140625" style="0" customWidth="1"/>
    <col min="6" max="6" width="10.421875" style="0" customWidth="1"/>
    <col min="7" max="7" width="14.28125" style="0" customWidth="1"/>
    <col min="8" max="8" width="14.00390625" style="0" customWidth="1"/>
    <col min="9" max="9" width="12.421875" style="0" customWidth="1"/>
    <col min="10" max="10" width="11.7109375" style="74" customWidth="1"/>
  </cols>
  <sheetData>
    <row r="3" ht="15">
      <c r="A3" t="s">
        <v>257</v>
      </c>
    </row>
    <row r="4" ht="15.75" thickBot="1"/>
    <row r="5" spans="1:10" s="28" customFormat="1" ht="21.75" customHeight="1" thickBot="1">
      <c r="A5" s="54" t="s">
        <v>256</v>
      </c>
      <c r="B5" s="57" t="s">
        <v>17</v>
      </c>
      <c r="C5" s="54" t="s">
        <v>254</v>
      </c>
      <c r="D5" s="68" t="s">
        <v>259</v>
      </c>
      <c r="E5" s="68" t="s">
        <v>260</v>
      </c>
      <c r="F5" s="68" t="s">
        <v>261</v>
      </c>
      <c r="G5" s="68" t="s">
        <v>262</v>
      </c>
      <c r="H5" s="68" t="s">
        <v>263</v>
      </c>
      <c r="I5" s="69" t="s">
        <v>264</v>
      </c>
      <c r="J5" s="75" t="s">
        <v>265</v>
      </c>
    </row>
    <row r="6" spans="1:10" s="28" customFormat="1" ht="12.75">
      <c r="A6" s="90" t="s">
        <v>1</v>
      </c>
      <c r="B6" s="82" t="s">
        <v>29</v>
      </c>
      <c r="C6" s="58" t="s">
        <v>31</v>
      </c>
      <c r="D6" s="32">
        <v>267.76</v>
      </c>
      <c r="E6" s="32"/>
      <c r="F6" s="32"/>
      <c r="G6" s="32">
        <v>387.36</v>
      </c>
      <c r="H6" s="32"/>
      <c r="I6" s="33">
        <v>250</v>
      </c>
      <c r="J6" s="32"/>
    </row>
    <row r="7" spans="1:10" s="28" customFormat="1" ht="12.75">
      <c r="A7" s="86" t="s">
        <v>2</v>
      </c>
      <c r="B7" s="83" t="s">
        <v>33</v>
      </c>
      <c r="C7" s="59" t="s">
        <v>32</v>
      </c>
      <c r="D7" s="37"/>
      <c r="E7" s="37"/>
      <c r="F7" s="37"/>
      <c r="G7" s="37">
        <v>370.88</v>
      </c>
      <c r="H7" s="37"/>
      <c r="I7" s="38">
        <v>250</v>
      </c>
      <c r="J7" s="37"/>
    </row>
    <row r="8" spans="1:10" s="28" customFormat="1" ht="12.75">
      <c r="A8" s="86" t="s">
        <v>3</v>
      </c>
      <c r="B8" s="83" t="s">
        <v>34</v>
      </c>
      <c r="C8" s="59" t="s">
        <v>35</v>
      </c>
      <c r="D8" s="37"/>
      <c r="E8" s="37"/>
      <c r="F8" s="37"/>
      <c r="G8" s="37">
        <v>346.96</v>
      </c>
      <c r="H8" s="37"/>
      <c r="I8" s="38">
        <v>807</v>
      </c>
      <c r="J8" s="37">
        <v>500</v>
      </c>
    </row>
    <row r="9" spans="1:10" s="28" customFormat="1" ht="12.75">
      <c r="A9" s="86" t="s">
        <v>4</v>
      </c>
      <c r="B9" s="83" t="s">
        <v>36</v>
      </c>
      <c r="C9" s="59" t="s">
        <v>37</v>
      </c>
      <c r="D9" s="37">
        <v>535.52</v>
      </c>
      <c r="E9" s="37"/>
      <c r="F9" s="37"/>
      <c r="G9" s="37">
        <v>387.36</v>
      </c>
      <c r="H9" s="37"/>
      <c r="I9" s="38">
        <v>250</v>
      </c>
      <c r="J9" s="37"/>
    </row>
    <row r="10" spans="1:10" s="28" customFormat="1" ht="12.75">
      <c r="A10" s="86" t="s">
        <v>5</v>
      </c>
      <c r="B10" s="83" t="s">
        <v>38</v>
      </c>
      <c r="C10" s="59" t="s">
        <v>39</v>
      </c>
      <c r="D10" s="37"/>
      <c r="E10" s="37"/>
      <c r="F10" s="37"/>
      <c r="G10" s="37">
        <v>384.08</v>
      </c>
      <c r="H10" s="37"/>
      <c r="I10" s="38"/>
      <c r="J10" s="37"/>
    </row>
    <row r="11" spans="1:10" s="28" customFormat="1" ht="12.75">
      <c r="A11" s="86" t="s">
        <v>6</v>
      </c>
      <c r="B11" s="83" t="s">
        <v>40</v>
      </c>
      <c r="C11" s="59" t="s">
        <v>41</v>
      </c>
      <c r="D11" s="37"/>
      <c r="E11" s="37"/>
      <c r="F11" s="37"/>
      <c r="G11" s="37"/>
      <c r="H11" s="37">
        <v>728.01</v>
      </c>
      <c r="I11" s="38"/>
      <c r="J11" s="37">
        <v>500</v>
      </c>
    </row>
    <row r="12" spans="1:10" s="28" customFormat="1" ht="12.75">
      <c r="A12" s="86" t="s">
        <v>7</v>
      </c>
      <c r="B12" s="83" t="s">
        <v>42</v>
      </c>
      <c r="C12" s="59" t="s">
        <v>43</v>
      </c>
      <c r="D12" s="37">
        <v>250.56</v>
      </c>
      <c r="E12" s="37"/>
      <c r="F12" s="37">
        <v>1080.52</v>
      </c>
      <c r="G12" s="37">
        <v>392.24</v>
      </c>
      <c r="H12" s="37"/>
      <c r="I12" s="38"/>
      <c r="J12" s="37"/>
    </row>
    <row r="13" spans="1:10" s="28" customFormat="1" ht="12.75">
      <c r="A13" s="86" t="s">
        <v>8</v>
      </c>
      <c r="B13" s="83" t="s">
        <v>44</v>
      </c>
      <c r="C13" s="59" t="s">
        <v>45</v>
      </c>
      <c r="D13" s="37">
        <v>224.6</v>
      </c>
      <c r="E13" s="37">
        <v>513.36</v>
      </c>
      <c r="F13" s="37">
        <v>1262.75</v>
      </c>
      <c r="G13" s="37">
        <v>342.24</v>
      </c>
      <c r="H13" s="37"/>
      <c r="I13" s="38">
        <v>250</v>
      </c>
      <c r="J13" s="37"/>
    </row>
    <row r="14" spans="1:10" s="28" customFormat="1" ht="12.75">
      <c r="A14" s="86" t="s">
        <v>9</v>
      </c>
      <c r="B14" s="83" t="s">
        <v>250</v>
      </c>
      <c r="C14" s="59" t="s">
        <v>46</v>
      </c>
      <c r="D14" s="37"/>
      <c r="E14" s="37"/>
      <c r="F14" s="37"/>
      <c r="G14" s="37">
        <v>334.72</v>
      </c>
      <c r="H14" s="37"/>
      <c r="I14" s="38">
        <v>600</v>
      </c>
      <c r="J14" s="37">
        <v>500</v>
      </c>
    </row>
    <row r="15" spans="1:10" s="28" customFormat="1" ht="12.75">
      <c r="A15" s="86" t="s">
        <v>30</v>
      </c>
      <c r="B15" s="83" t="s">
        <v>47</v>
      </c>
      <c r="C15" s="59" t="s">
        <v>48</v>
      </c>
      <c r="D15" s="37">
        <v>460.76</v>
      </c>
      <c r="E15" s="37"/>
      <c r="F15" s="37"/>
      <c r="G15" s="37">
        <v>333.28</v>
      </c>
      <c r="H15" s="37"/>
      <c r="I15" s="38">
        <v>250</v>
      </c>
      <c r="J15" s="37">
        <v>500</v>
      </c>
    </row>
    <row r="16" spans="1:10" s="28" customFormat="1" ht="12.75">
      <c r="A16" s="86" t="s">
        <v>10</v>
      </c>
      <c r="B16" s="83" t="s">
        <v>49</v>
      </c>
      <c r="C16" s="59" t="s">
        <v>50</v>
      </c>
      <c r="D16" s="37"/>
      <c r="E16" s="37"/>
      <c r="F16" s="37"/>
      <c r="G16" s="37">
        <v>329.28</v>
      </c>
      <c r="H16" s="37"/>
      <c r="I16" s="38">
        <v>650</v>
      </c>
      <c r="J16" s="37"/>
    </row>
    <row r="17" spans="1:10" s="28" customFormat="1" ht="12.75">
      <c r="A17" s="86" t="s">
        <v>11</v>
      </c>
      <c r="B17" s="83" t="s">
        <v>51</v>
      </c>
      <c r="C17" s="59" t="s">
        <v>52</v>
      </c>
      <c r="D17" s="37"/>
      <c r="E17" s="37"/>
      <c r="F17" s="37"/>
      <c r="G17" s="37">
        <v>324.64</v>
      </c>
      <c r="H17" s="37"/>
      <c r="I17" s="38">
        <v>650</v>
      </c>
      <c r="J17" s="37">
        <v>500</v>
      </c>
    </row>
    <row r="18" spans="1:10" s="28" customFormat="1" ht="12.75">
      <c r="A18" s="86" t="s">
        <v>12</v>
      </c>
      <c r="B18" s="83" t="s">
        <v>251</v>
      </c>
      <c r="C18" s="59" t="s">
        <v>53</v>
      </c>
      <c r="D18" s="37"/>
      <c r="E18" s="37"/>
      <c r="F18" s="37"/>
      <c r="G18" s="37">
        <v>310.96</v>
      </c>
      <c r="H18" s="37"/>
      <c r="I18" s="38">
        <v>650</v>
      </c>
      <c r="J18" s="37">
        <v>500</v>
      </c>
    </row>
    <row r="19" spans="1:10" s="28" customFormat="1" ht="12.75">
      <c r="A19" s="86" t="s">
        <v>13</v>
      </c>
      <c r="B19" s="83" t="s">
        <v>54</v>
      </c>
      <c r="C19" s="59" t="s">
        <v>55</v>
      </c>
      <c r="D19" s="37">
        <v>204.65</v>
      </c>
      <c r="E19" s="37"/>
      <c r="F19" s="37"/>
      <c r="G19" s="37">
        <v>320.4</v>
      </c>
      <c r="H19" s="37"/>
      <c r="I19" s="38">
        <v>600</v>
      </c>
      <c r="J19" s="37">
        <v>1000</v>
      </c>
    </row>
    <row r="20" spans="1:10" s="28" customFormat="1" ht="12.75">
      <c r="A20" s="86" t="s">
        <v>14</v>
      </c>
      <c r="B20" s="83" t="s">
        <v>56</v>
      </c>
      <c r="C20" s="59" t="s">
        <v>57</v>
      </c>
      <c r="D20" s="37"/>
      <c r="E20" s="37"/>
      <c r="F20" s="37"/>
      <c r="G20" s="37"/>
      <c r="H20" s="37">
        <v>846.02</v>
      </c>
      <c r="I20" s="38"/>
      <c r="J20" s="37"/>
    </row>
    <row r="21" spans="1:10" s="28" customFormat="1" ht="12.75">
      <c r="A21" s="86" t="s">
        <v>15</v>
      </c>
      <c r="B21" s="83" t="s">
        <v>59</v>
      </c>
      <c r="C21" s="59" t="s">
        <v>60</v>
      </c>
      <c r="D21" s="37"/>
      <c r="E21" s="37"/>
      <c r="F21" s="37">
        <v>356.62</v>
      </c>
      <c r="G21" s="37"/>
      <c r="H21" s="37"/>
      <c r="I21" s="38"/>
      <c r="J21" s="37"/>
    </row>
    <row r="22" spans="1:10" s="28" customFormat="1" ht="12.75">
      <c r="A22" s="86" t="s">
        <v>16</v>
      </c>
      <c r="B22" s="83" t="s">
        <v>102</v>
      </c>
      <c r="C22" s="59" t="s">
        <v>103</v>
      </c>
      <c r="D22" s="37">
        <v>176.51</v>
      </c>
      <c r="E22" s="37"/>
      <c r="F22" s="37"/>
      <c r="G22" s="37">
        <v>315.2</v>
      </c>
      <c r="H22" s="37"/>
      <c r="I22" s="38">
        <v>250</v>
      </c>
      <c r="J22" s="37">
        <v>500</v>
      </c>
    </row>
    <row r="23" spans="1:10" s="28" customFormat="1" ht="12.75">
      <c r="A23" s="86" t="s">
        <v>58</v>
      </c>
      <c r="B23" s="83" t="s">
        <v>252</v>
      </c>
      <c r="C23" s="59" t="s">
        <v>62</v>
      </c>
      <c r="D23" s="37"/>
      <c r="E23" s="37"/>
      <c r="F23" s="37"/>
      <c r="G23" s="37"/>
      <c r="H23" s="37">
        <v>1008.48</v>
      </c>
      <c r="I23" s="38">
        <v>810</v>
      </c>
      <c r="J23" s="37"/>
    </row>
    <row r="24" spans="1:10" s="28" customFormat="1" ht="12.75">
      <c r="A24" s="86" t="s">
        <v>61</v>
      </c>
      <c r="B24" s="83" t="s">
        <v>64</v>
      </c>
      <c r="C24" s="59" t="s">
        <v>65</v>
      </c>
      <c r="D24" s="37"/>
      <c r="E24" s="37"/>
      <c r="F24" s="37"/>
      <c r="G24" s="37">
        <v>307.44</v>
      </c>
      <c r="H24" s="37"/>
      <c r="I24" s="38">
        <v>600</v>
      </c>
      <c r="J24" s="37">
        <v>500</v>
      </c>
    </row>
    <row r="25" spans="1:10" s="28" customFormat="1" ht="12.75">
      <c r="A25" s="86" t="s">
        <v>63</v>
      </c>
      <c r="B25" s="83" t="s">
        <v>67</v>
      </c>
      <c r="C25" s="59" t="s">
        <v>68</v>
      </c>
      <c r="D25" s="37"/>
      <c r="E25" s="37"/>
      <c r="F25" s="37"/>
      <c r="G25" s="37">
        <v>307.44</v>
      </c>
      <c r="H25" s="37">
        <v>668.75</v>
      </c>
      <c r="I25" s="38">
        <v>830</v>
      </c>
      <c r="J25" s="37">
        <v>500</v>
      </c>
    </row>
    <row r="26" spans="1:10" s="28" customFormat="1" ht="12.75">
      <c r="A26" s="86" t="s">
        <v>66</v>
      </c>
      <c r="B26" s="83" t="s">
        <v>70</v>
      </c>
      <c r="C26" s="59" t="s">
        <v>71</v>
      </c>
      <c r="D26" s="37"/>
      <c r="E26" s="37"/>
      <c r="F26" s="37"/>
      <c r="G26" s="37">
        <v>309.12</v>
      </c>
      <c r="H26" s="37"/>
      <c r="I26" s="38">
        <v>650</v>
      </c>
      <c r="J26" s="37"/>
    </row>
    <row r="27" spans="1:10" s="28" customFormat="1" ht="12.75">
      <c r="A27" s="86" t="s">
        <v>69</v>
      </c>
      <c r="B27" s="83" t="s">
        <v>73</v>
      </c>
      <c r="C27" s="59" t="s">
        <v>74</v>
      </c>
      <c r="D27" s="37">
        <v>199.97</v>
      </c>
      <c r="E27" s="37"/>
      <c r="F27" s="37"/>
      <c r="G27" s="37">
        <v>387.36</v>
      </c>
      <c r="H27" s="37"/>
      <c r="I27" s="38">
        <v>768</v>
      </c>
      <c r="J27" s="37"/>
    </row>
    <row r="28" spans="1:10" s="28" customFormat="1" ht="12.75">
      <c r="A28" s="86" t="s">
        <v>72</v>
      </c>
      <c r="B28" s="83" t="s">
        <v>239</v>
      </c>
      <c r="C28" s="59" t="s">
        <v>76</v>
      </c>
      <c r="D28" s="37">
        <v>653.83</v>
      </c>
      <c r="E28" s="37"/>
      <c r="F28" s="37"/>
      <c r="G28" s="37">
        <v>369.92</v>
      </c>
      <c r="H28" s="37"/>
      <c r="I28" s="38">
        <v>250</v>
      </c>
      <c r="J28" s="37"/>
    </row>
    <row r="29" spans="1:10" s="28" customFormat="1" ht="12.75">
      <c r="A29" s="86" t="s">
        <v>75</v>
      </c>
      <c r="B29" s="83" t="s">
        <v>78</v>
      </c>
      <c r="C29" s="59" t="s">
        <v>79</v>
      </c>
      <c r="D29" s="37">
        <v>374.9</v>
      </c>
      <c r="E29" s="37"/>
      <c r="F29" s="37"/>
      <c r="G29" s="37">
        <v>396.72</v>
      </c>
      <c r="H29" s="37"/>
      <c r="I29" s="38"/>
      <c r="J29" s="37"/>
    </row>
    <row r="30" spans="1:10" s="28" customFormat="1" ht="12.75">
      <c r="A30" s="86" t="s">
        <v>77</v>
      </c>
      <c r="B30" s="83" t="s">
        <v>81</v>
      </c>
      <c r="C30" s="59" t="s">
        <v>82</v>
      </c>
      <c r="D30" s="37"/>
      <c r="E30" s="37"/>
      <c r="F30" s="37"/>
      <c r="G30" s="37">
        <v>366.64</v>
      </c>
      <c r="H30" s="37"/>
      <c r="I30" s="38"/>
      <c r="J30" s="37"/>
    </row>
    <row r="31" spans="1:10" s="28" customFormat="1" ht="12.75">
      <c r="A31" s="86" t="s">
        <v>80</v>
      </c>
      <c r="B31" s="83" t="s">
        <v>84</v>
      </c>
      <c r="C31" s="59" t="s">
        <v>85</v>
      </c>
      <c r="D31" s="37"/>
      <c r="E31" s="37"/>
      <c r="F31" s="37"/>
      <c r="G31" s="37">
        <v>306.08</v>
      </c>
      <c r="H31" s="37"/>
      <c r="I31" s="38">
        <v>250</v>
      </c>
      <c r="J31" s="37"/>
    </row>
    <row r="32" spans="1:10" s="28" customFormat="1" ht="12.75">
      <c r="A32" s="86" t="s">
        <v>83</v>
      </c>
      <c r="B32" s="83" t="s">
        <v>87</v>
      </c>
      <c r="C32" s="59" t="s">
        <v>88</v>
      </c>
      <c r="D32" s="37">
        <v>107.99</v>
      </c>
      <c r="E32" s="37"/>
      <c r="F32" s="37"/>
      <c r="G32" s="37">
        <v>385.68</v>
      </c>
      <c r="H32" s="37"/>
      <c r="I32" s="38"/>
      <c r="J32" s="37"/>
    </row>
    <row r="33" spans="1:10" s="28" customFormat="1" ht="12.75">
      <c r="A33" s="86" t="s">
        <v>86</v>
      </c>
      <c r="B33" s="83" t="s">
        <v>90</v>
      </c>
      <c r="C33" s="59" t="s">
        <v>91</v>
      </c>
      <c r="D33" s="37">
        <v>601.59</v>
      </c>
      <c r="E33" s="37">
        <v>585.96</v>
      </c>
      <c r="F33" s="37"/>
      <c r="G33" s="37">
        <v>366.64</v>
      </c>
      <c r="H33" s="37"/>
      <c r="I33" s="38"/>
      <c r="J33" s="37"/>
    </row>
    <row r="34" spans="1:10" s="28" customFormat="1" ht="12.75">
      <c r="A34" s="86" t="s">
        <v>89</v>
      </c>
      <c r="B34" s="83" t="s">
        <v>94</v>
      </c>
      <c r="C34" s="59" t="s">
        <v>95</v>
      </c>
      <c r="D34" s="37">
        <v>405.21</v>
      </c>
      <c r="E34" s="37"/>
      <c r="F34" s="37"/>
      <c r="G34" s="37">
        <v>385.92</v>
      </c>
      <c r="H34" s="37"/>
      <c r="I34" s="38">
        <v>250</v>
      </c>
      <c r="J34" s="37"/>
    </row>
    <row r="35" spans="1:10" s="28" customFormat="1" ht="12.75">
      <c r="A35" s="86" t="s">
        <v>92</v>
      </c>
      <c r="B35" s="83" t="s">
        <v>253</v>
      </c>
      <c r="C35" s="59" t="s">
        <v>97</v>
      </c>
      <c r="D35" s="37"/>
      <c r="E35" s="37"/>
      <c r="F35" s="37"/>
      <c r="G35" s="37">
        <v>364.8</v>
      </c>
      <c r="H35" s="37"/>
      <c r="I35" s="38"/>
      <c r="J35" s="37"/>
    </row>
    <row r="36" spans="1:10" s="28" customFormat="1" ht="13.5" thickBot="1">
      <c r="A36" s="92" t="s">
        <v>93</v>
      </c>
      <c r="B36" s="88" t="s">
        <v>99</v>
      </c>
      <c r="C36" s="60" t="s">
        <v>100</v>
      </c>
      <c r="D36" s="43">
        <v>398.95</v>
      </c>
      <c r="E36" s="43"/>
      <c r="F36" s="43"/>
      <c r="G36" s="43">
        <v>315.2</v>
      </c>
      <c r="H36" s="43"/>
      <c r="I36" s="44">
        <v>250</v>
      </c>
      <c r="J36" s="43"/>
    </row>
    <row r="37" spans="1:10" s="28" customFormat="1" ht="13.5" thickBot="1">
      <c r="A37" s="93" t="s">
        <v>96</v>
      </c>
      <c r="B37" s="89" t="s">
        <v>105</v>
      </c>
      <c r="C37" s="61" t="s">
        <v>106</v>
      </c>
      <c r="D37" s="48"/>
      <c r="E37" s="48"/>
      <c r="F37" s="48"/>
      <c r="G37" s="48">
        <v>304.4</v>
      </c>
      <c r="H37" s="48"/>
      <c r="I37" s="49">
        <v>867</v>
      </c>
      <c r="J37" s="76"/>
    </row>
    <row r="38" s="28" customFormat="1" ht="13.5" thickBot="1">
      <c r="J38" s="77"/>
    </row>
    <row r="39" spans="1:10" s="28" customFormat="1" ht="21.75" customHeight="1" thickBot="1">
      <c r="A39" s="54" t="s">
        <v>256</v>
      </c>
      <c r="B39" s="57" t="s">
        <v>17</v>
      </c>
      <c r="C39" s="54" t="s">
        <v>254</v>
      </c>
      <c r="D39" s="68" t="s">
        <v>259</v>
      </c>
      <c r="E39" s="68" t="s">
        <v>260</v>
      </c>
      <c r="F39" s="68" t="s">
        <v>261</v>
      </c>
      <c r="G39" s="68" t="s">
        <v>262</v>
      </c>
      <c r="H39" s="68" t="s">
        <v>263</v>
      </c>
      <c r="I39" s="69" t="s">
        <v>264</v>
      </c>
      <c r="J39" s="78" t="s">
        <v>265</v>
      </c>
    </row>
    <row r="40" spans="1:10" s="28" customFormat="1" ht="13.5" thickBot="1">
      <c r="A40" s="55" t="s">
        <v>98</v>
      </c>
      <c r="B40" s="63" t="s">
        <v>108</v>
      </c>
      <c r="C40" s="64" t="s">
        <v>109</v>
      </c>
      <c r="D40" s="56"/>
      <c r="E40" s="56">
        <v>465.84</v>
      </c>
      <c r="F40" s="56"/>
      <c r="G40" s="56">
        <v>310.56</v>
      </c>
      <c r="H40" s="56"/>
      <c r="I40" s="65">
        <v>987</v>
      </c>
      <c r="J40" s="79"/>
    </row>
    <row r="41" spans="1:10" s="28" customFormat="1" ht="12.75">
      <c r="A41" s="90" t="s">
        <v>101</v>
      </c>
      <c r="B41" s="82" t="s">
        <v>111</v>
      </c>
      <c r="C41" s="58" t="s">
        <v>112</v>
      </c>
      <c r="D41" s="32">
        <v>355.48</v>
      </c>
      <c r="E41" s="32"/>
      <c r="F41" s="32"/>
      <c r="G41" s="32">
        <v>366.64</v>
      </c>
      <c r="H41" s="32"/>
      <c r="I41" s="33">
        <v>250</v>
      </c>
      <c r="J41" s="37"/>
    </row>
    <row r="42" spans="1:10" s="28" customFormat="1" ht="12.75">
      <c r="A42" s="86" t="s">
        <v>104</v>
      </c>
      <c r="B42" s="83" t="s">
        <v>114</v>
      </c>
      <c r="C42" s="59" t="s">
        <v>115</v>
      </c>
      <c r="D42" s="37">
        <v>333.2</v>
      </c>
      <c r="E42" s="37"/>
      <c r="F42" s="37"/>
      <c r="G42" s="37">
        <v>366.16</v>
      </c>
      <c r="H42" s="37"/>
      <c r="I42" s="38"/>
      <c r="J42" s="37"/>
    </row>
    <row r="43" spans="1:10" s="28" customFormat="1" ht="12.75">
      <c r="A43" s="86" t="s">
        <v>107</v>
      </c>
      <c r="B43" s="83" t="s">
        <v>117</v>
      </c>
      <c r="C43" s="59" t="s">
        <v>118</v>
      </c>
      <c r="D43" s="37">
        <v>364.87</v>
      </c>
      <c r="E43" s="37"/>
      <c r="F43" s="37">
        <v>432.9</v>
      </c>
      <c r="G43" s="37">
        <v>372.32</v>
      </c>
      <c r="H43" s="37"/>
      <c r="I43" s="38">
        <v>1316</v>
      </c>
      <c r="J43" s="37"/>
    </row>
    <row r="44" spans="1:10" s="28" customFormat="1" ht="12.75">
      <c r="A44" s="86" t="s">
        <v>110</v>
      </c>
      <c r="B44" s="83" t="s">
        <v>120</v>
      </c>
      <c r="C44" s="59" t="s">
        <v>121</v>
      </c>
      <c r="D44" s="37">
        <v>178.51</v>
      </c>
      <c r="E44" s="37"/>
      <c r="F44" s="37"/>
      <c r="G44" s="37">
        <v>309.12</v>
      </c>
      <c r="H44" s="37"/>
      <c r="I44" s="38">
        <v>250</v>
      </c>
      <c r="J44" s="37"/>
    </row>
    <row r="45" spans="1:10" s="28" customFormat="1" ht="12.75">
      <c r="A45" s="86" t="s">
        <v>113</v>
      </c>
      <c r="B45" s="83" t="s">
        <v>123</v>
      </c>
      <c r="C45" s="59" t="s">
        <v>124</v>
      </c>
      <c r="D45" s="37">
        <v>104.56</v>
      </c>
      <c r="E45" s="37"/>
      <c r="F45" s="37"/>
      <c r="G45" s="37">
        <v>217.84</v>
      </c>
      <c r="H45" s="37"/>
      <c r="I45" s="38"/>
      <c r="J45" s="37"/>
    </row>
    <row r="46" spans="1:10" s="28" customFormat="1" ht="12.75">
      <c r="A46" s="86" t="s">
        <v>116</v>
      </c>
      <c r="B46" s="83" t="s">
        <v>126</v>
      </c>
      <c r="C46" s="59" t="s">
        <v>127</v>
      </c>
      <c r="D46" s="37">
        <v>537.72</v>
      </c>
      <c r="E46" s="37">
        <v>288.06</v>
      </c>
      <c r="F46" s="37">
        <v>820.38</v>
      </c>
      <c r="G46" s="37">
        <v>384.08</v>
      </c>
      <c r="H46" s="37"/>
      <c r="I46" s="38">
        <v>250</v>
      </c>
      <c r="J46" s="37"/>
    </row>
    <row r="47" spans="1:10" s="28" customFormat="1" ht="12.75">
      <c r="A47" s="86" t="s">
        <v>119</v>
      </c>
      <c r="B47" s="83" t="s">
        <v>129</v>
      </c>
      <c r="C47" s="59" t="s">
        <v>130</v>
      </c>
      <c r="D47" s="37">
        <v>534.78</v>
      </c>
      <c r="E47" s="37">
        <v>774.3</v>
      </c>
      <c r="F47" s="37"/>
      <c r="G47" s="37">
        <v>412.96</v>
      </c>
      <c r="H47" s="37"/>
      <c r="I47" s="38">
        <v>250</v>
      </c>
      <c r="J47" s="37"/>
    </row>
    <row r="48" spans="1:10" s="28" customFormat="1" ht="12.75">
      <c r="A48" s="86" t="s">
        <v>122</v>
      </c>
      <c r="B48" s="83" t="s">
        <v>132</v>
      </c>
      <c r="C48" s="59" t="s">
        <v>133</v>
      </c>
      <c r="D48" s="37"/>
      <c r="E48" s="37"/>
      <c r="F48" s="37"/>
      <c r="G48" s="37">
        <v>366.64</v>
      </c>
      <c r="H48" s="37"/>
      <c r="I48" s="38">
        <v>810</v>
      </c>
      <c r="J48" s="37"/>
    </row>
    <row r="49" spans="1:10" s="28" customFormat="1" ht="12.75">
      <c r="A49" s="86" t="s">
        <v>125</v>
      </c>
      <c r="B49" s="83" t="s">
        <v>135</v>
      </c>
      <c r="C49" s="59" t="s">
        <v>136</v>
      </c>
      <c r="D49" s="37"/>
      <c r="E49" s="37"/>
      <c r="F49" s="37"/>
      <c r="G49" s="37">
        <v>330.72</v>
      </c>
      <c r="H49" s="37"/>
      <c r="I49" s="38">
        <v>250</v>
      </c>
      <c r="J49" s="37">
        <v>500</v>
      </c>
    </row>
    <row r="50" spans="1:10" s="28" customFormat="1" ht="12.75">
      <c r="A50" s="86" t="s">
        <v>128</v>
      </c>
      <c r="B50" s="83" t="s">
        <v>138</v>
      </c>
      <c r="C50" s="59" t="s">
        <v>139</v>
      </c>
      <c r="D50" s="37"/>
      <c r="E50" s="37"/>
      <c r="F50" s="37"/>
      <c r="G50" s="37">
        <v>361.76</v>
      </c>
      <c r="H50" s="37"/>
      <c r="I50" s="38">
        <v>250</v>
      </c>
      <c r="J50" s="37"/>
    </row>
    <row r="51" spans="1:10" s="28" customFormat="1" ht="12.75">
      <c r="A51" s="86" t="s">
        <v>131</v>
      </c>
      <c r="B51" s="83" t="s">
        <v>141</v>
      </c>
      <c r="C51" s="59" t="s">
        <v>142</v>
      </c>
      <c r="D51" s="37"/>
      <c r="E51" s="37"/>
      <c r="F51" s="37"/>
      <c r="G51" s="37">
        <v>316.64</v>
      </c>
      <c r="H51" s="37"/>
      <c r="I51" s="38">
        <v>830</v>
      </c>
      <c r="J51" s="37"/>
    </row>
    <row r="52" spans="1:10" s="28" customFormat="1" ht="12.75">
      <c r="A52" s="86" t="s">
        <v>134</v>
      </c>
      <c r="B52" s="83" t="s">
        <v>145</v>
      </c>
      <c r="C52" s="59" t="s">
        <v>146</v>
      </c>
      <c r="D52" s="37"/>
      <c r="E52" s="37"/>
      <c r="F52" s="37"/>
      <c r="G52" s="37">
        <v>365.04</v>
      </c>
      <c r="H52" s="37"/>
      <c r="I52" s="38">
        <v>250</v>
      </c>
      <c r="J52" s="37"/>
    </row>
    <row r="53" spans="1:10" s="28" customFormat="1" ht="12.75">
      <c r="A53" s="86" t="s">
        <v>137</v>
      </c>
      <c r="B53" s="83" t="s">
        <v>148</v>
      </c>
      <c r="C53" s="59" t="s">
        <v>149</v>
      </c>
      <c r="D53" s="37">
        <v>82.32</v>
      </c>
      <c r="E53" s="37"/>
      <c r="F53" s="37">
        <v>730.75</v>
      </c>
      <c r="G53" s="37">
        <v>313.6</v>
      </c>
      <c r="H53" s="37"/>
      <c r="I53" s="38">
        <v>877</v>
      </c>
      <c r="J53" s="37">
        <v>1500</v>
      </c>
    </row>
    <row r="54" spans="1:10" s="28" customFormat="1" ht="12.75">
      <c r="A54" s="86" t="s">
        <v>140</v>
      </c>
      <c r="B54" s="83" t="s">
        <v>151</v>
      </c>
      <c r="C54" s="59" t="s">
        <v>152</v>
      </c>
      <c r="D54" s="37"/>
      <c r="E54" s="37"/>
      <c r="F54" s="37"/>
      <c r="G54" s="37">
        <v>312.16</v>
      </c>
      <c r="H54" s="37"/>
      <c r="I54" s="38">
        <v>600</v>
      </c>
      <c r="J54" s="37">
        <v>1500</v>
      </c>
    </row>
    <row r="55" spans="1:10" s="28" customFormat="1" ht="12.75">
      <c r="A55" s="86" t="s">
        <v>143</v>
      </c>
      <c r="B55" s="83" t="s">
        <v>154</v>
      </c>
      <c r="C55" s="59" t="s">
        <v>155</v>
      </c>
      <c r="D55" s="37"/>
      <c r="E55" s="37"/>
      <c r="F55" s="37"/>
      <c r="G55" s="37">
        <v>316.64</v>
      </c>
      <c r="H55" s="37"/>
      <c r="I55" s="38">
        <v>810</v>
      </c>
      <c r="J55" s="37">
        <v>500</v>
      </c>
    </row>
    <row r="56" spans="1:10" s="28" customFormat="1" ht="12.75">
      <c r="A56" s="86" t="s">
        <v>144</v>
      </c>
      <c r="B56" s="83" t="s">
        <v>158</v>
      </c>
      <c r="C56" s="59" t="s">
        <v>159</v>
      </c>
      <c r="D56" s="37"/>
      <c r="E56" s="37"/>
      <c r="F56" s="37"/>
      <c r="G56" s="37">
        <v>361.76</v>
      </c>
      <c r="H56" s="37"/>
      <c r="I56" s="38">
        <v>810</v>
      </c>
      <c r="J56" s="37"/>
    </row>
    <row r="57" spans="1:10" s="28" customFormat="1" ht="12.75">
      <c r="A57" s="86" t="s">
        <v>147</v>
      </c>
      <c r="B57" s="83" t="s">
        <v>162</v>
      </c>
      <c r="C57" s="59" t="s">
        <v>163</v>
      </c>
      <c r="D57" s="37"/>
      <c r="E57" s="37"/>
      <c r="F57" s="37"/>
      <c r="G57" s="37">
        <v>122.43</v>
      </c>
      <c r="H57" s="37"/>
      <c r="I57" s="38">
        <v>600</v>
      </c>
      <c r="J57" s="37"/>
    </row>
    <row r="58" spans="1:10" s="28" customFormat="1" ht="12.75">
      <c r="A58" s="86" t="s">
        <v>150</v>
      </c>
      <c r="B58" s="83" t="s">
        <v>165</v>
      </c>
      <c r="C58" s="59" t="s">
        <v>166</v>
      </c>
      <c r="D58" s="37"/>
      <c r="E58" s="37"/>
      <c r="F58" s="37"/>
      <c r="G58" s="37">
        <v>72.35</v>
      </c>
      <c r="H58" s="37"/>
      <c r="I58" s="38"/>
      <c r="J58" s="37"/>
    </row>
    <row r="59" spans="1:10" s="28" customFormat="1" ht="12.75">
      <c r="A59" s="86" t="s">
        <v>153</v>
      </c>
      <c r="B59" s="83" t="s">
        <v>168</v>
      </c>
      <c r="C59" s="59" t="s">
        <v>169</v>
      </c>
      <c r="D59" s="37"/>
      <c r="E59" s="37"/>
      <c r="F59" s="37"/>
      <c r="G59" s="37">
        <v>65.86</v>
      </c>
      <c r="H59" s="37"/>
      <c r="I59" s="38">
        <v>768</v>
      </c>
      <c r="J59" s="37">
        <v>1000</v>
      </c>
    </row>
    <row r="60" spans="1:10" s="28" customFormat="1" ht="12.75">
      <c r="A60" s="86" t="s">
        <v>156</v>
      </c>
      <c r="B60" s="83" t="s">
        <v>171</v>
      </c>
      <c r="C60" s="59" t="s">
        <v>172</v>
      </c>
      <c r="D60" s="37"/>
      <c r="E60" s="37">
        <v>687.6</v>
      </c>
      <c r="F60" s="37"/>
      <c r="G60" s="37">
        <v>270.48</v>
      </c>
      <c r="H60" s="37"/>
      <c r="I60" s="38">
        <v>650</v>
      </c>
      <c r="J60" s="37"/>
    </row>
    <row r="61" spans="1:10" s="28" customFormat="1" ht="12.75">
      <c r="A61" s="86" t="s">
        <v>157</v>
      </c>
      <c r="B61" s="83" t="s">
        <v>174</v>
      </c>
      <c r="C61" s="59" t="s">
        <v>175</v>
      </c>
      <c r="D61" s="37"/>
      <c r="E61" s="37"/>
      <c r="F61" s="37"/>
      <c r="G61" s="37">
        <v>246.64</v>
      </c>
      <c r="H61" s="37"/>
      <c r="I61" s="38"/>
      <c r="J61" s="37"/>
    </row>
    <row r="62" spans="1:10" s="28" customFormat="1" ht="12.75">
      <c r="A62" s="86" t="s">
        <v>160</v>
      </c>
      <c r="B62" s="83" t="s">
        <v>180</v>
      </c>
      <c r="C62" s="59" t="s">
        <v>181</v>
      </c>
      <c r="D62" s="37"/>
      <c r="E62" s="37"/>
      <c r="F62" s="37"/>
      <c r="G62" s="37">
        <v>160.88</v>
      </c>
      <c r="H62" s="37"/>
      <c r="I62" s="38">
        <v>250</v>
      </c>
      <c r="J62" s="37"/>
    </row>
    <row r="63" spans="1:10" s="28" customFormat="1" ht="12.75">
      <c r="A63" s="86" t="s">
        <v>161</v>
      </c>
      <c r="B63" s="83" t="s">
        <v>183</v>
      </c>
      <c r="C63" s="59" t="s">
        <v>184</v>
      </c>
      <c r="D63" s="37"/>
      <c r="E63" s="37"/>
      <c r="F63" s="37"/>
      <c r="G63" s="37"/>
      <c r="H63" s="37"/>
      <c r="I63" s="38"/>
      <c r="J63" s="37"/>
    </row>
    <row r="64" spans="1:10" s="28" customFormat="1" ht="12.75">
      <c r="A64" s="86" t="s">
        <v>164</v>
      </c>
      <c r="B64" s="83" t="s">
        <v>186</v>
      </c>
      <c r="C64" s="59" t="s">
        <v>187</v>
      </c>
      <c r="D64" s="37"/>
      <c r="E64" s="37"/>
      <c r="F64" s="37"/>
      <c r="G64" s="37">
        <v>77.2</v>
      </c>
      <c r="H64" s="37"/>
      <c r="I64" s="38"/>
      <c r="J64" s="37"/>
    </row>
    <row r="65" spans="1:10" s="28" customFormat="1" ht="12.75">
      <c r="A65" s="86" t="s">
        <v>167</v>
      </c>
      <c r="B65" s="83" t="s">
        <v>189</v>
      </c>
      <c r="C65" s="59" t="s">
        <v>190</v>
      </c>
      <c r="D65" s="37"/>
      <c r="E65" s="37"/>
      <c r="F65" s="37"/>
      <c r="G65" s="37">
        <v>163.92</v>
      </c>
      <c r="H65" s="37"/>
      <c r="I65" s="38">
        <v>250</v>
      </c>
      <c r="J65" s="37"/>
    </row>
    <row r="66" spans="1:10" s="28" customFormat="1" ht="12.75">
      <c r="A66" s="86" t="s">
        <v>170</v>
      </c>
      <c r="B66" s="83" t="s">
        <v>192</v>
      </c>
      <c r="C66" s="59" t="s">
        <v>193</v>
      </c>
      <c r="D66" s="37"/>
      <c r="E66" s="37"/>
      <c r="F66" s="37"/>
      <c r="G66" s="37">
        <v>156.64</v>
      </c>
      <c r="H66" s="37"/>
      <c r="I66" s="38">
        <v>250</v>
      </c>
      <c r="J66" s="37">
        <v>500</v>
      </c>
    </row>
    <row r="67" spans="1:10" s="28" customFormat="1" ht="12.75">
      <c r="A67" s="86" t="s">
        <v>173</v>
      </c>
      <c r="B67" s="83" t="s">
        <v>195</v>
      </c>
      <c r="C67" s="59" t="s">
        <v>196</v>
      </c>
      <c r="D67" s="37"/>
      <c r="E67" s="37"/>
      <c r="F67" s="37"/>
      <c r="G67" s="37">
        <v>154.32</v>
      </c>
      <c r="H67" s="37"/>
      <c r="I67" s="38">
        <v>250</v>
      </c>
      <c r="J67" s="37">
        <v>1000</v>
      </c>
    </row>
    <row r="68" spans="1:10" s="28" customFormat="1" ht="12.75">
      <c r="A68" s="86" t="s">
        <v>176</v>
      </c>
      <c r="B68" s="83" t="s">
        <v>198</v>
      </c>
      <c r="C68" s="59" t="s">
        <v>199</v>
      </c>
      <c r="D68" s="37"/>
      <c r="E68" s="37"/>
      <c r="F68" s="37"/>
      <c r="G68" s="37">
        <v>157.36</v>
      </c>
      <c r="H68" s="37"/>
      <c r="I68" s="38">
        <v>600</v>
      </c>
      <c r="J68" s="37"/>
    </row>
    <row r="69" spans="1:10" s="28" customFormat="1" ht="12.75">
      <c r="A69" s="86" t="s">
        <v>179</v>
      </c>
      <c r="B69" s="83" t="s">
        <v>201</v>
      </c>
      <c r="C69" s="59" t="s">
        <v>202</v>
      </c>
      <c r="D69" s="37"/>
      <c r="E69" s="37"/>
      <c r="F69" s="37"/>
      <c r="G69" s="37"/>
      <c r="H69" s="37"/>
      <c r="I69" s="38"/>
      <c r="J69" s="37"/>
    </row>
    <row r="70" spans="1:10" s="28" customFormat="1" ht="12.75">
      <c r="A70" s="86" t="s">
        <v>182</v>
      </c>
      <c r="B70" s="83" t="s">
        <v>204</v>
      </c>
      <c r="C70" s="59" t="s">
        <v>205</v>
      </c>
      <c r="D70" s="37"/>
      <c r="E70" s="37"/>
      <c r="F70" s="37"/>
      <c r="G70" s="37">
        <v>206.72</v>
      </c>
      <c r="H70" s="37"/>
      <c r="I70" s="38">
        <v>850</v>
      </c>
      <c r="J70" s="37"/>
    </row>
    <row r="71" spans="1:10" s="28" customFormat="1" ht="12.75">
      <c r="A71" s="86" t="s">
        <v>185</v>
      </c>
      <c r="B71" s="83" t="s">
        <v>207</v>
      </c>
      <c r="C71" s="59" t="s">
        <v>208</v>
      </c>
      <c r="D71" s="37"/>
      <c r="E71" s="37"/>
      <c r="F71" s="37"/>
      <c r="G71" s="37">
        <v>160.88</v>
      </c>
      <c r="H71" s="37"/>
      <c r="I71" s="38">
        <v>250</v>
      </c>
      <c r="J71" s="37"/>
    </row>
    <row r="72" spans="1:10" s="28" customFormat="1" ht="13.5" thickBot="1">
      <c r="A72" s="86" t="s">
        <v>188</v>
      </c>
      <c r="B72" s="88" t="s">
        <v>210</v>
      </c>
      <c r="C72" s="60" t="s">
        <v>211</v>
      </c>
      <c r="D72" s="43"/>
      <c r="E72" s="43"/>
      <c r="F72" s="43"/>
      <c r="G72" s="43">
        <v>326.24</v>
      </c>
      <c r="H72" s="43"/>
      <c r="I72" s="44">
        <v>250</v>
      </c>
      <c r="J72" s="43">
        <v>500</v>
      </c>
    </row>
    <row r="73" spans="1:10" s="28" customFormat="1" ht="13.5" thickBot="1">
      <c r="A73" s="91" t="s">
        <v>191</v>
      </c>
      <c r="B73" s="89" t="s">
        <v>213</v>
      </c>
      <c r="C73" s="61" t="s">
        <v>214</v>
      </c>
      <c r="D73" s="48"/>
      <c r="E73" s="48"/>
      <c r="F73" s="48"/>
      <c r="G73" s="48">
        <v>310.56</v>
      </c>
      <c r="H73" s="48">
        <v>675.39</v>
      </c>
      <c r="I73" s="62"/>
      <c r="J73" s="76">
        <v>500</v>
      </c>
    </row>
    <row r="74" spans="1:10" s="28" customFormat="1" ht="12.75">
      <c r="A74" s="70"/>
      <c r="B74" s="71"/>
      <c r="C74" s="72"/>
      <c r="D74" s="73"/>
      <c r="E74" s="73"/>
      <c r="F74" s="73"/>
      <c r="G74" s="73"/>
      <c r="H74" s="73"/>
      <c r="I74" s="73"/>
      <c r="J74" s="73"/>
    </row>
    <row r="75" spans="1:10" s="28" customFormat="1" ht="12.75">
      <c r="A75" s="70"/>
      <c r="B75" s="71"/>
      <c r="C75" s="72"/>
      <c r="D75" s="73"/>
      <c r="E75" s="73"/>
      <c r="F75" s="73"/>
      <c r="G75" s="73"/>
      <c r="H75" s="73"/>
      <c r="I75" s="73"/>
      <c r="J75" s="73"/>
    </row>
    <row r="76" s="28" customFormat="1" ht="11.25" customHeight="1">
      <c r="J76" s="77"/>
    </row>
    <row r="77" s="28" customFormat="1" ht="13.5" thickBot="1">
      <c r="J77" s="77"/>
    </row>
    <row r="78" spans="1:10" s="28" customFormat="1" ht="21.75" customHeight="1" thickBot="1">
      <c r="A78" s="54" t="s">
        <v>256</v>
      </c>
      <c r="B78" s="57" t="s">
        <v>17</v>
      </c>
      <c r="C78" s="54" t="s">
        <v>254</v>
      </c>
      <c r="D78" s="68" t="s">
        <v>259</v>
      </c>
      <c r="E78" s="68" t="s">
        <v>260</v>
      </c>
      <c r="F78" s="68" t="s">
        <v>261</v>
      </c>
      <c r="G78" s="68" t="s">
        <v>262</v>
      </c>
      <c r="H78" s="68" t="s">
        <v>263</v>
      </c>
      <c r="I78" s="69" t="s">
        <v>264</v>
      </c>
      <c r="J78" s="78" t="s">
        <v>265</v>
      </c>
    </row>
    <row r="79" spans="1:10" s="28" customFormat="1" ht="13.5" thickBot="1">
      <c r="A79" s="85">
        <v>67</v>
      </c>
      <c r="B79" s="81" t="s">
        <v>216</v>
      </c>
      <c r="C79" s="64" t="s">
        <v>217</v>
      </c>
      <c r="D79" s="56"/>
      <c r="E79" s="56"/>
      <c r="F79" s="56"/>
      <c r="G79" s="56">
        <v>312.16</v>
      </c>
      <c r="H79" s="56"/>
      <c r="I79" s="65">
        <v>250</v>
      </c>
      <c r="J79" s="76"/>
    </row>
    <row r="80" spans="1:10" s="28" customFormat="1" ht="12.75">
      <c r="A80" s="86">
        <f>SUM(A79+1)</f>
        <v>68</v>
      </c>
      <c r="B80" s="82" t="s">
        <v>221</v>
      </c>
      <c r="C80" s="58" t="s">
        <v>222</v>
      </c>
      <c r="D80" s="32">
        <v>374.95</v>
      </c>
      <c r="E80" s="32"/>
      <c r="F80" s="32"/>
      <c r="G80" s="32">
        <v>306.08</v>
      </c>
      <c r="H80" s="32"/>
      <c r="I80" s="33">
        <v>1956</v>
      </c>
      <c r="J80" s="32"/>
    </row>
    <row r="81" spans="1:10" s="28" customFormat="1" ht="12.75">
      <c r="A81" s="86">
        <f aca="true" t="shared" si="0" ref="A81:A92">SUM(A80+1)</f>
        <v>69</v>
      </c>
      <c r="B81" s="83" t="s">
        <v>224</v>
      </c>
      <c r="C81" s="59" t="s">
        <v>225</v>
      </c>
      <c r="D81" s="37"/>
      <c r="E81" s="37"/>
      <c r="F81" s="37"/>
      <c r="G81" s="37"/>
      <c r="H81" s="37"/>
      <c r="I81" s="38">
        <v>810</v>
      </c>
      <c r="J81" s="37"/>
    </row>
    <row r="82" spans="1:10" s="28" customFormat="1" ht="12.75">
      <c r="A82" s="86">
        <f t="shared" si="0"/>
        <v>70</v>
      </c>
      <c r="B82" s="83" t="s">
        <v>227</v>
      </c>
      <c r="C82" s="59" t="s">
        <v>228</v>
      </c>
      <c r="D82" s="37"/>
      <c r="E82" s="37"/>
      <c r="F82" s="37"/>
      <c r="G82" s="37"/>
      <c r="H82" s="37"/>
      <c r="I82" s="38">
        <v>250</v>
      </c>
      <c r="J82" s="37"/>
    </row>
    <row r="83" spans="1:10" s="28" customFormat="1" ht="12.75">
      <c r="A83" s="86">
        <f t="shared" si="0"/>
        <v>71</v>
      </c>
      <c r="B83" s="83" t="s">
        <v>230</v>
      </c>
      <c r="C83" s="59" t="s">
        <v>231</v>
      </c>
      <c r="D83" s="37"/>
      <c r="E83" s="37"/>
      <c r="F83" s="37"/>
      <c r="G83" s="37"/>
      <c r="H83" s="37"/>
      <c r="I83" s="38">
        <v>250</v>
      </c>
      <c r="J83" s="37"/>
    </row>
    <row r="84" spans="1:10" s="28" customFormat="1" ht="12.75">
      <c r="A84" s="86">
        <f t="shared" si="0"/>
        <v>72</v>
      </c>
      <c r="B84" s="83" t="s">
        <v>258</v>
      </c>
      <c r="C84" s="59"/>
      <c r="D84" s="37"/>
      <c r="E84" s="37"/>
      <c r="F84" s="37"/>
      <c r="G84" s="37"/>
      <c r="H84" s="37"/>
      <c r="I84" s="38">
        <v>1646</v>
      </c>
      <c r="J84" s="37">
        <v>1000</v>
      </c>
    </row>
    <row r="85" spans="1:10" s="28" customFormat="1" ht="12.75">
      <c r="A85" s="86">
        <f t="shared" si="0"/>
        <v>73</v>
      </c>
      <c r="B85" s="83" t="s">
        <v>232</v>
      </c>
      <c r="C85" s="59" t="s">
        <v>233</v>
      </c>
      <c r="D85" s="37"/>
      <c r="E85" s="37"/>
      <c r="F85" s="37"/>
      <c r="G85" s="37">
        <v>146.66</v>
      </c>
      <c r="H85" s="37"/>
      <c r="I85" s="38">
        <v>250</v>
      </c>
      <c r="J85" s="37"/>
    </row>
    <row r="86" spans="1:10" s="28" customFormat="1" ht="12.75">
      <c r="A86" s="86">
        <f t="shared" si="0"/>
        <v>74</v>
      </c>
      <c r="B86" s="83" t="s">
        <v>234</v>
      </c>
      <c r="C86" s="59" t="s">
        <v>235</v>
      </c>
      <c r="D86" s="37"/>
      <c r="E86" s="37"/>
      <c r="F86" s="37"/>
      <c r="G86" s="37"/>
      <c r="H86" s="37"/>
      <c r="I86" s="38"/>
      <c r="J86" s="37"/>
    </row>
    <row r="87" spans="1:10" s="28" customFormat="1" ht="12.75">
      <c r="A87" s="86">
        <f t="shared" si="0"/>
        <v>75</v>
      </c>
      <c r="B87" s="83" t="s">
        <v>236</v>
      </c>
      <c r="C87" s="59" t="s">
        <v>237</v>
      </c>
      <c r="D87" s="37"/>
      <c r="E87" s="37"/>
      <c r="F87" s="37"/>
      <c r="G87" s="37">
        <v>77.48</v>
      </c>
      <c r="H87" s="37"/>
      <c r="I87" s="38"/>
      <c r="J87" s="37"/>
    </row>
    <row r="88" spans="1:10" s="28" customFormat="1" ht="12.75">
      <c r="A88" s="86">
        <f t="shared" si="0"/>
        <v>76</v>
      </c>
      <c r="B88" s="83" t="s">
        <v>240</v>
      </c>
      <c r="C88" s="59" t="s">
        <v>241</v>
      </c>
      <c r="D88" s="37"/>
      <c r="E88" s="37"/>
      <c r="F88" s="37"/>
      <c r="G88" s="37">
        <v>248.96</v>
      </c>
      <c r="H88" s="37"/>
      <c r="I88" s="38">
        <v>752</v>
      </c>
      <c r="J88" s="37"/>
    </row>
    <row r="89" spans="1:10" s="28" customFormat="1" ht="12.75">
      <c r="A89" s="86">
        <f t="shared" si="0"/>
        <v>77</v>
      </c>
      <c r="B89" s="83" t="s">
        <v>242</v>
      </c>
      <c r="C89" s="59" t="s">
        <v>243</v>
      </c>
      <c r="D89" s="37"/>
      <c r="E89" s="37"/>
      <c r="F89" s="37"/>
      <c r="G89" s="37">
        <v>70.48</v>
      </c>
      <c r="H89" s="37"/>
      <c r="I89" s="38">
        <v>1200</v>
      </c>
      <c r="J89" s="37"/>
    </row>
    <row r="90" spans="1:10" s="28" customFormat="1" ht="12.75">
      <c r="A90" s="86">
        <f t="shared" si="0"/>
        <v>78</v>
      </c>
      <c r="B90" s="83" t="s">
        <v>244</v>
      </c>
      <c r="C90" s="59" t="s">
        <v>245</v>
      </c>
      <c r="D90" s="37"/>
      <c r="E90" s="37"/>
      <c r="F90" s="37"/>
      <c r="G90" s="37">
        <v>312.16</v>
      </c>
      <c r="H90" s="37">
        <v>233.19</v>
      </c>
      <c r="I90" s="38">
        <v>830</v>
      </c>
      <c r="J90" s="37">
        <v>500</v>
      </c>
    </row>
    <row r="91" spans="1:10" s="28" customFormat="1" ht="12.75">
      <c r="A91" s="86">
        <f t="shared" si="0"/>
        <v>79</v>
      </c>
      <c r="B91" s="83" t="s">
        <v>246</v>
      </c>
      <c r="C91" s="59" t="s">
        <v>247</v>
      </c>
      <c r="D91" s="37"/>
      <c r="E91" s="37"/>
      <c r="F91" s="37"/>
      <c r="G91" s="37">
        <v>315.2</v>
      </c>
      <c r="H91" s="37"/>
      <c r="I91" s="38">
        <v>600</v>
      </c>
      <c r="J91" s="37">
        <v>1000</v>
      </c>
    </row>
    <row r="92" spans="1:10" s="28" customFormat="1" ht="13.5" thickBot="1">
      <c r="A92" s="86">
        <f t="shared" si="0"/>
        <v>80</v>
      </c>
      <c r="B92" s="83" t="s">
        <v>248</v>
      </c>
      <c r="C92" s="59" t="s">
        <v>249</v>
      </c>
      <c r="D92" s="37">
        <v>197.75</v>
      </c>
      <c r="E92" s="37"/>
      <c r="F92" s="37"/>
      <c r="G92" s="37">
        <v>309.6</v>
      </c>
      <c r="H92" s="37"/>
      <c r="I92" s="38">
        <v>600</v>
      </c>
      <c r="J92" s="43">
        <v>1000</v>
      </c>
    </row>
    <row r="93" spans="1:10" s="1" customFormat="1" ht="19.5" thickBot="1">
      <c r="A93" s="87"/>
      <c r="B93" s="84" t="s">
        <v>238</v>
      </c>
      <c r="C93" s="66"/>
      <c r="D93" s="12">
        <f aca="true" t="shared" si="1" ref="D93:J93">SUM(D6:D92)</f>
        <v>7926.939999999999</v>
      </c>
      <c r="E93" s="12">
        <f t="shared" si="1"/>
        <v>3315.12</v>
      </c>
      <c r="F93" s="12">
        <f t="shared" si="1"/>
        <v>4683.92</v>
      </c>
      <c r="G93" s="12">
        <f t="shared" si="1"/>
        <v>20288.859999999997</v>
      </c>
      <c r="H93" s="12">
        <f t="shared" si="1"/>
        <v>4159.84</v>
      </c>
      <c r="I93" s="67">
        <f t="shared" si="1"/>
        <v>34134</v>
      </c>
      <c r="J93" s="80">
        <f t="shared" si="1"/>
        <v>16500</v>
      </c>
    </row>
    <row r="94" s="28" customFormat="1" ht="12.75">
      <c r="J94" s="77"/>
    </row>
    <row r="95" s="28" customFormat="1" ht="12.75">
      <c r="J95" s="77"/>
    </row>
    <row r="96" s="28" customFormat="1" ht="12.75">
      <c r="J96" s="77"/>
    </row>
    <row r="97" s="28" customFormat="1" ht="12.75">
      <c r="J97" s="77"/>
    </row>
    <row r="98" s="28" customFormat="1" ht="12.75">
      <c r="J98" s="77"/>
    </row>
    <row r="99" s="28" customFormat="1" ht="12.75">
      <c r="J99" s="77"/>
    </row>
    <row r="100" s="28" customFormat="1" ht="12.75">
      <c r="J100" s="77"/>
    </row>
    <row r="101" s="28" customFormat="1" ht="12.75">
      <c r="J101" s="77"/>
    </row>
    <row r="102" s="28" customFormat="1" ht="12.75">
      <c r="J102" s="77"/>
    </row>
    <row r="103" s="28" customFormat="1" ht="12.75">
      <c r="J103" s="77"/>
    </row>
    <row r="104" s="28" customFormat="1" ht="12.75">
      <c r="J104" s="77"/>
    </row>
    <row r="105" s="28" customFormat="1" ht="12.75">
      <c r="J105" s="77"/>
    </row>
    <row r="106" s="28" customFormat="1" ht="12.75">
      <c r="J106" s="77"/>
    </row>
    <row r="107" s="28" customFormat="1" ht="12.75">
      <c r="J107" s="77"/>
    </row>
    <row r="108" s="28" customFormat="1" ht="12.75">
      <c r="J108" s="77"/>
    </row>
    <row r="109" s="28" customFormat="1" ht="12.75">
      <c r="J109" s="77"/>
    </row>
    <row r="110" s="28" customFormat="1" ht="12.75">
      <c r="J110" s="77"/>
    </row>
    <row r="111" s="28" customFormat="1" ht="12.75">
      <c r="J111" s="77"/>
    </row>
    <row r="112" s="28" customFormat="1" ht="12.75">
      <c r="J112" s="77"/>
    </row>
    <row r="113" s="28" customFormat="1" ht="12.75">
      <c r="J113" s="77"/>
    </row>
    <row r="114" s="28" customFormat="1" ht="12.75">
      <c r="J114" s="77"/>
    </row>
    <row r="115" s="28" customFormat="1" ht="12.75">
      <c r="J115" s="77"/>
    </row>
    <row r="116" s="28" customFormat="1" ht="12.75">
      <c r="J116" s="77"/>
    </row>
    <row r="117" s="28" customFormat="1" ht="12.75">
      <c r="J117" s="77"/>
    </row>
    <row r="118" s="28" customFormat="1" ht="12.75">
      <c r="J118" s="77"/>
    </row>
    <row r="119" s="28" customFormat="1" ht="12.75">
      <c r="J119" s="77"/>
    </row>
    <row r="120" s="28" customFormat="1" ht="12.75">
      <c r="J120" s="77"/>
    </row>
    <row r="121" s="28" customFormat="1" ht="12.75">
      <c r="J121" s="77"/>
    </row>
    <row r="122" s="28" customFormat="1" ht="12.75">
      <c r="J122" s="77"/>
    </row>
    <row r="123" s="28" customFormat="1" ht="12.75">
      <c r="J123" s="77"/>
    </row>
    <row r="124" s="28" customFormat="1" ht="12.75">
      <c r="J124" s="77"/>
    </row>
    <row r="125" s="28" customFormat="1" ht="12.75">
      <c r="J125" s="77"/>
    </row>
    <row r="126" s="28" customFormat="1" ht="12.75">
      <c r="J126" s="77"/>
    </row>
    <row r="127" s="28" customFormat="1" ht="12.75">
      <c r="J127" s="77"/>
    </row>
    <row r="128" s="28" customFormat="1" ht="12.75">
      <c r="J128" s="77"/>
    </row>
    <row r="129" s="28" customFormat="1" ht="12.75">
      <c r="J129" s="77"/>
    </row>
    <row r="130" s="28" customFormat="1" ht="12.75">
      <c r="J130" s="77"/>
    </row>
    <row r="131" s="28" customFormat="1" ht="12.75">
      <c r="J131" s="77"/>
    </row>
    <row r="132" s="28" customFormat="1" ht="12.75">
      <c r="J132" s="77"/>
    </row>
    <row r="133" s="28" customFormat="1" ht="12.75">
      <c r="J133" s="77"/>
    </row>
    <row r="134" s="28" customFormat="1" ht="12.75">
      <c r="J134" s="77"/>
    </row>
    <row r="135" s="28" customFormat="1" ht="12.75">
      <c r="J135" s="77"/>
    </row>
    <row r="136" s="28" customFormat="1" ht="12.75">
      <c r="J136" s="77"/>
    </row>
    <row r="137" s="28" customFormat="1" ht="12.75">
      <c r="J137" s="77"/>
    </row>
    <row r="138" s="28" customFormat="1" ht="12.75">
      <c r="J138" s="77"/>
    </row>
    <row r="139" s="28" customFormat="1" ht="12.75">
      <c r="J139" s="77"/>
    </row>
    <row r="140" s="28" customFormat="1" ht="12.75">
      <c r="J140" s="77"/>
    </row>
    <row r="141" s="28" customFormat="1" ht="12.75">
      <c r="J141" s="77"/>
    </row>
    <row r="142" s="28" customFormat="1" ht="12.75">
      <c r="J142" s="77"/>
    </row>
    <row r="143" s="28" customFormat="1" ht="12.75">
      <c r="J143" s="77"/>
    </row>
    <row r="144" s="28" customFormat="1" ht="12.75">
      <c r="J144" s="77"/>
    </row>
    <row r="145" s="28" customFormat="1" ht="12.75">
      <c r="J145" s="77"/>
    </row>
    <row r="146" s="28" customFormat="1" ht="12.75">
      <c r="J146" s="77"/>
    </row>
    <row r="147" s="28" customFormat="1" ht="12.75">
      <c r="J147" s="77"/>
    </row>
    <row r="148" s="28" customFormat="1" ht="12.75">
      <c r="J148" s="77"/>
    </row>
    <row r="149" s="28" customFormat="1" ht="12.75">
      <c r="J149" s="77"/>
    </row>
    <row r="150" s="28" customFormat="1" ht="12.75">
      <c r="J150" s="77"/>
    </row>
    <row r="151" s="28" customFormat="1" ht="12.75">
      <c r="J151" s="77"/>
    </row>
    <row r="152" s="28" customFormat="1" ht="12.75">
      <c r="J152" s="77"/>
    </row>
    <row r="153" s="28" customFormat="1" ht="12.75">
      <c r="J153" s="77"/>
    </row>
    <row r="154" s="28" customFormat="1" ht="12.75">
      <c r="J154" s="77"/>
    </row>
    <row r="155" s="28" customFormat="1" ht="12.75">
      <c r="J155" s="77"/>
    </row>
    <row r="156" s="28" customFormat="1" ht="12.75">
      <c r="J156" s="77"/>
    </row>
    <row r="157" s="28" customFormat="1" ht="12.75">
      <c r="J157" s="77"/>
    </row>
    <row r="158" s="28" customFormat="1" ht="12.75">
      <c r="J158" s="77"/>
    </row>
    <row r="159" s="28" customFormat="1" ht="12.75">
      <c r="J159" s="77"/>
    </row>
    <row r="160" s="28" customFormat="1" ht="12.75">
      <c r="J160" s="77"/>
    </row>
    <row r="161" s="28" customFormat="1" ht="12.75">
      <c r="J161" s="77"/>
    </row>
    <row r="162" s="28" customFormat="1" ht="12.75">
      <c r="J162" s="77"/>
    </row>
    <row r="163" s="28" customFormat="1" ht="12.75">
      <c r="J163" s="77"/>
    </row>
    <row r="164" s="28" customFormat="1" ht="12.75">
      <c r="J164" s="77"/>
    </row>
    <row r="165" s="28" customFormat="1" ht="12.75">
      <c r="J165" s="77"/>
    </row>
    <row r="166" s="28" customFormat="1" ht="12.75">
      <c r="J166" s="77"/>
    </row>
    <row r="167" s="28" customFormat="1" ht="12.75">
      <c r="J167" s="77"/>
    </row>
    <row r="168" s="28" customFormat="1" ht="12.75">
      <c r="J168" s="77"/>
    </row>
    <row r="169" s="28" customFormat="1" ht="12.75">
      <c r="J169" s="77"/>
    </row>
    <row r="170" s="28" customFormat="1" ht="12.75">
      <c r="J170" s="77"/>
    </row>
    <row r="171" s="28" customFormat="1" ht="12.75">
      <c r="J171" s="77"/>
    </row>
    <row r="172" s="28" customFormat="1" ht="12.75">
      <c r="J172" s="77"/>
    </row>
    <row r="173" s="28" customFormat="1" ht="12.75">
      <c r="J173" s="77"/>
    </row>
    <row r="174" s="28" customFormat="1" ht="12.75">
      <c r="J174" s="77"/>
    </row>
    <row r="175" s="28" customFormat="1" ht="12.75">
      <c r="J175" s="77"/>
    </row>
    <row r="176" s="28" customFormat="1" ht="12.75">
      <c r="J176" s="77"/>
    </row>
    <row r="177" s="28" customFormat="1" ht="12.75">
      <c r="J177" s="77"/>
    </row>
    <row r="178" s="28" customFormat="1" ht="12.75">
      <c r="J178" s="77"/>
    </row>
    <row r="179" s="28" customFormat="1" ht="12.75">
      <c r="J179" s="77"/>
    </row>
    <row r="180" s="28" customFormat="1" ht="12.75">
      <c r="J180" s="77"/>
    </row>
    <row r="181" s="28" customFormat="1" ht="12.75">
      <c r="J181" s="77"/>
    </row>
    <row r="182" s="28" customFormat="1" ht="12.75">
      <c r="J182" s="77"/>
    </row>
    <row r="183" s="28" customFormat="1" ht="12.75">
      <c r="J183" s="77"/>
    </row>
    <row r="184" s="28" customFormat="1" ht="12.75">
      <c r="J184" s="77"/>
    </row>
    <row r="185" s="28" customFormat="1" ht="12.75">
      <c r="J185" s="77"/>
    </row>
    <row r="186" s="28" customFormat="1" ht="12.75">
      <c r="J186" s="77"/>
    </row>
    <row r="187" s="28" customFormat="1" ht="12.75">
      <c r="J187" s="77"/>
    </row>
    <row r="188" s="28" customFormat="1" ht="12.75">
      <c r="J188" s="77"/>
    </row>
    <row r="189" s="28" customFormat="1" ht="12.75">
      <c r="J189" s="77"/>
    </row>
    <row r="190" s="28" customFormat="1" ht="12.75">
      <c r="J190" s="77"/>
    </row>
    <row r="191" s="28" customFormat="1" ht="12.75">
      <c r="J191" s="77"/>
    </row>
    <row r="192" s="28" customFormat="1" ht="12.75">
      <c r="J192" s="77"/>
    </row>
    <row r="193" s="28" customFormat="1" ht="12.75">
      <c r="J193" s="77"/>
    </row>
    <row r="194" s="28" customFormat="1" ht="12.75">
      <c r="J194" s="77"/>
    </row>
    <row r="195" s="28" customFormat="1" ht="12.75">
      <c r="J195" s="77"/>
    </row>
    <row r="196" s="28" customFormat="1" ht="12.75">
      <c r="J196" s="77"/>
    </row>
    <row r="197" s="28" customFormat="1" ht="12.75">
      <c r="J197" s="77"/>
    </row>
    <row r="198" s="28" customFormat="1" ht="12.75">
      <c r="J198" s="77"/>
    </row>
    <row r="199" s="28" customFormat="1" ht="12.75">
      <c r="J199" s="77"/>
    </row>
    <row r="200" s="28" customFormat="1" ht="12.75">
      <c r="J200" s="77"/>
    </row>
    <row r="201" s="28" customFormat="1" ht="12.75">
      <c r="J201" s="77"/>
    </row>
    <row r="202" s="28" customFormat="1" ht="12.75">
      <c r="J202" s="77"/>
    </row>
    <row r="203" s="28" customFormat="1" ht="12.75">
      <c r="J203" s="77"/>
    </row>
    <row r="204" s="28" customFormat="1" ht="12.75">
      <c r="J204" s="77"/>
    </row>
    <row r="205" s="28" customFormat="1" ht="12.75">
      <c r="J205" s="77"/>
    </row>
    <row r="206" s="28" customFormat="1" ht="12.75">
      <c r="J206" s="77"/>
    </row>
    <row r="207" s="28" customFormat="1" ht="12.75">
      <c r="J207" s="77"/>
    </row>
    <row r="208" s="28" customFormat="1" ht="12.75">
      <c r="J208" s="77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208"/>
  <sheetViews>
    <sheetView zoomScalePageLayoutView="0" workbookViewId="0" topLeftCell="A82">
      <selection activeCell="D16" sqref="D16"/>
    </sheetView>
  </sheetViews>
  <sheetFormatPr defaultColWidth="9.140625" defaultRowHeight="15"/>
  <cols>
    <col min="1" max="1" width="4.421875" style="0" customWidth="1"/>
    <col min="2" max="2" width="17.7109375" style="0" customWidth="1"/>
    <col min="3" max="3" width="4.421875" style="0" customWidth="1"/>
    <col min="4" max="4" width="15.8515625" style="0" customWidth="1"/>
    <col min="5" max="5" width="14.140625" style="0" customWidth="1"/>
    <col min="6" max="6" width="10.421875" style="0" customWidth="1"/>
    <col min="7" max="7" width="14.28125" style="0" customWidth="1"/>
    <col min="8" max="8" width="14.00390625" style="0" customWidth="1"/>
    <col min="9" max="9" width="12.421875" style="0" customWidth="1"/>
    <col min="10" max="10" width="11.7109375" style="74" customWidth="1"/>
  </cols>
  <sheetData>
    <row r="3" ht="15">
      <c r="A3" t="s">
        <v>266</v>
      </c>
    </row>
    <row r="4" ht="15.75" thickBot="1"/>
    <row r="5" spans="1:10" s="28" customFormat="1" ht="21.75" customHeight="1" thickBot="1">
      <c r="A5" s="54" t="s">
        <v>256</v>
      </c>
      <c r="B5" s="57" t="s">
        <v>17</v>
      </c>
      <c r="C5" s="54" t="s">
        <v>254</v>
      </c>
      <c r="D5" s="68" t="s">
        <v>259</v>
      </c>
      <c r="E5" s="68" t="s">
        <v>260</v>
      </c>
      <c r="F5" s="68" t="s">
        <v>261</v>
      </c>
      <c r="G5" s="68" t="s">
        <v>262</v>
      </c>
      <c r="H5" s="68" t="s">
        <v>263</v>
      </c>
      <c r="I5" s="69" t="s">
        <v>264</v>
      </c>
      <c r="J5" s="75" t="s">
        <v>267</v>
      </c>
    </row>
    <row r="6" spans="1:10" s="28" customFormat="1" ht="12.75">
      <c r="A6" s="90" t="s">
        <v>1</v>
      </c>
      <c r="B6" s="82" t="s">
        <v>29</v>
      </c>
      <c r="C6" s="58" t="s">
        <v>31</v>
      </c>
      <c r="D6" s="32">
        <v>206.9</v>
      </c>
      <c r="E6" s="32"/>
      <c r="F6" s="32"/>
      <c r="G6" s="32">
        <v>299.32</v>
      </c>
      <c r="H6" s="32"/>
      <c r="I6" s="33">
        <v>250</v>
      </c>
      <c r="J6" s="32"/>
    </row>
    <row r="7" spans="1:10" s="28" customFormat="1" ht="12.75">
      <c r="A7" s="86" t="s">
        <v>2</v>
      </c>
      <c r="B7" s="83" t="s">
        <v>33</v>
      </c>
      <c r="C7" s="59" t="s">
        <v>32</v>
      </c>
      <c r="D7" s="37"/>
      <c r="E7" s="37"/>
      <c r="F7" s="37"/>
      <c r="G7" s="37">
        <v>286.58</v>
      </c>
      <c r="H7" s="37"/>
      <c r="I7" s="38">
        <v>250</v>
      </c>
      <c r="J7" s="37"/>
    </row>
    <row r="8" spans="1:10" s="28" customFormat="1" ht="12.75">
      <c r="A8" s="86" t="s">
        <v>3</v>
      </c>
      <c r="B8" s="83" t="s">
        <v>34</v>
      </c>
      <c r="C8" s="59" t="s">
        <v>35</v>
      </c>
      <c r="D8" s="37"/>
      <c r="E8" s="37"/>
      <c r="F8" s="37"/>
      <c r="G8" s="37">
        <v>268.1</v>
      </c>
      <c r="H8" s="37"/>
      <c r="I8" s="38">
        <v>807</v>
      </c>
      <c r="J8" s="37"/>
    </row>
    <row r="9" spans="1:10" s="28" customFormat="1" ht="12.75">
      <c r="A9" s="86" t="s">
        <v>4</v>
      </c>
      <c r="B9" s="83" t="s">
        <v>36</v>
      </c>
      <c r="C9" s="59" t="s">
        <v>37</v>
      </c>
      <c r="D9" s="37">
        <v>413.81</v>
      </c>
      <c r="E9" s="37"/>
      <c r="F9" s="37"/>
      <c r="G9" s="37">
        <v>299.32</v>
      </c>
      <c r="H9" s="37"/>
      <c r="I9" s="38">
        <v>250</v>
      </c>
      <c r="J9" s="37"/>
    </row>
    <row r="10" spans="1:10" s="28" customFormat="1" ht="12.75">
      <c r="A10" s="86" t="s">
        <v>5</v>
      </c>
      <c r="B10" s="83" t="s">
        <v>38</v>
      </c>
      <c r="C10" s="59" t="s">
        <v>39</v>
      </c>
      <c r="D10" s="37"/>
      <c r="E10" s="37"/>
      <c r="F10" s="37"/>
      <c r="G10" s="37">
        <v>296.78</v>
      </c>
      <c r="H10" s="37"/>
      <c r="I10" s="38"/>
      <c r="J10" s="37"/>
    </row>
    <row r="11" spans="1:10" s="28" customFormat="1" ht="12.75">
      <c r="A11" s="86" t="s">
        <v>6</v>
      </c>
      <c r="B11" s="83" t="s">
        <v>40</v>
      </c>
      <c r="C11" s="59" t="s">
        <v>41</v>
      </c>
      <c r="D11" s="37"/>
      <c r="E11" s="37"/>
      <c r="F11" s="37"/>
      <c r="G11" s="37"/>
      <c r="H11" s="37">
        <v>562.55</v>
      </c>
      <c r="I11" s="38"/>
      <c r="J11" s="37"/>
    </row>
    <row r="12" spans="1:10" s="28" customFormat="1" ht="12.75">
      <c r="A12" s="86" t="s">
        <v>7</v>
      </c>
      <c r="B12" s="83" t="s">
        <v>42</v>
      </c>
      <c r="C12" s="59" t="s">
        <v>43</v>
      </c>
      <c r="D12" s="37">
        <v>193.61</v>
      </c>
      <c r="E12" s="37"/>
      <c r="F12" s="37"/>
      <c r="G12" s="37">
        <v>303.09</v>
      </c>
      <c r="H12" s="37"/>
      <c r="I12" s="38"/>
      <c r="J12" s="37"/>
    </row>
    <row r="13" spans="1:10" s="28" customFormat="1" ht="12.75">
      <c r="A13" s="86" t="s">
        <v>8</v>
      </c>
      <c r="B13" s="83" t="s">
        <v>44</v>
      </c>
      <c r="C13" s="59" t="s">
        <v>45</v>
      </c>
      <c r="D13" s="37">
        <v>173.55</v>
      </c>
      <c r="E13" s="37">
        <v>396.68</v>
      </c>
      <c r="F13" s="37"/>
      <c r="G13" s="37">
        <v>264.45</v>
      </c>
      <c r="H13" s="37"/>
      <c r="I13" s="38">
        <v>250</v>
      </c>
      <c r="J13" s="37"/>
    </row>
    <row r="14" spans="1:10" s="28" customFormat="1" ht="12.75">
      <c r="A14" s="86" t="s">
        <v>9</v>
      </c>
      <c r="B14" s="83" t="s">
        <v>250</v>
      </c>
      <c r="C14" s="59" t="s">
        <v>46</v>
      </c>
      <c r="D14" s="37"/>
      <c r="E14" s="37"/>
      <c r="F14" s="37"/>
      <c r="G14" s="37">
        <v>258.64</v>
      </c>
      <c r="H14" s="37"/>
      <c r="I14" s="38">
        <v>600</v>
      </c>
      <c r="J14" s="37"/>
    </row>
    <row r="15" spans="1:10" s="28" customFormat="1" ht="12.75">
      <c r="A15" s="86" t="s">
        <v>30</v>
      </c>
      <c r="B15" s="83" t="s">
        <v>47</v>
      </c>
      <c r="C15" s="59" t="s">
        <v>48</v>
      </c>
      <c r="D15" s="37">
        <v>356.04</v>
      </c>
      <c r="E15" s="37"/>
      <c r="F15" s="37"/>
      <c r="G15" s="37">
        <v>257.53</v>
      </c>
      <c r="H15" s="37"/>
      <c r="I15" s="38">
        <v>250</v>
      </c>
      <c r="J15" s="37"/>
    </row>
    <row r="16" spans="1:10" s="28" customFormat="1" ht="12.75">
      <c r="A16" s="86" t="s">
        <v>10</v>
      </c>
      <c r="B16" s="83" t="s">
        <v>49</v>
      </c>
      <c r="C16" s="59" t="s">
        <v>50</v>
      </c>
      <c r="D16" s="37"/>
      <c r="E16" s="37"/>
      <c r="F16" s="37"/>
      <c r="G16" s="37">
        <v>254.44</v>
      </c>
      <c r="H16" s="37"/>
      <c r="I16" s="38">
        <v>650</v>
      </c>
      <c r="J16" s="37"/>
    </row>
    <row r="17" spans="1:10" s="28" customFormat="1" ht="12.75">
      <c r="A17" s="86" t="s">
        <v>11</v>
      </c>
      <c r="B17" s="83" t="s">
        <v>51</v>
      </c>
      <c r="C17" s="59" t="s">
        <v>52</v>
      </c>
      <c r="D17" s="37"/>
      <c r="E17" s="37"/>
      <c r="F17" s="37"/>
      <c r="G17" s="37">
        <v>250.85</v>
      </c>
      <c r="H17" s="37"/>
      <c r="I17" s="38">
        <v>650</v>
      </c>
      <c r="J17" s="37"/>
    </row>
    <row r="18" spans="1:10" s="28" customFormat="1" ht="12.75">
      <c r="A18" s="86" t="s">
        <v>12</v>
      </c>
      <c r="B18" s="83" t="s">
        <v>251</v>
      </c>
      <c r="C18" s="59" t="s">
        <v>53</v>
      </c>
      <c r="D18" s="37"/>
      <c r="E18" s="37"/>
      <c r="F18" s="37"/>
      <c r="G18" s="37">
        <v>240.28</v>
      </c>
      <c r="H18" s="37"/>
      <c r="I18" s="38">
        <v>650</v>
      </c>
      <c r="J18" s="37"/>
    </row>
    <row r="19" spans="1:10" s="28" customFormat="1" ht="12.75">
      <c r="A19" s="86" t="s">
        <v>13</v>
      </c>
      <c r="B19" s="83" t="s">
        <v>54</v>
      </c>
      <c r="C19" s="59" t="s">
        <v>55</v>
      </c>
      <c r="D19" s="37">
        <v>158.13</v>
      </c>
      <c r="E19" s="37"/>
      <c r="F19" s="37"/>
      <c r="G19" s="37">
        <v>247.58</v>
      </c>
      <c r="H19" s="37"/>
      <c r="I19" s="38">
        <v>600</v>
      </c>
      <c r="J19" s="37"/>
    </row>
    <row r="20" spans="1:10" s="28" customFormat="1" ht="12.75">
      <c r="A20" s="86" t="s">
        <v>14</v>
      </c>
      <c r="B20" s="83" t="s">
        <v>56</v>
      </c>
      <c r="C20" s="59" t="s">
        <v>57</v>
      </c>
      <c r="D20" s="37"/>
      <c r="E20" s="37"/>
      <c r="F20" s="37"/>
      <c r="G20" s="37"/>
      <c r="H20" s="37">
        <v>653.74</v>
      </c>
      <c r="I20" s="38"/>
      <c r="J20" s="37"/>
    </row>
    <row r="21" spans="1:10" s="28" customFormat="1" ht="12.75">
      <c r="A21" s="86" t="s">
        <v>15</v>
      </c>
      <c r="B21" s="83" t="s">
        <v>59</v>
      </c>
      <c r="C21" s="59" t="s">
        <v>60</v>
      </c>
      <c r="D21" s="37"/>
      <c r="E21" s="37"/>
      <c r="F21" s="37"/>
      <c r="G21" s="37"/>
      <c r="H21" s="37"/>
      <c r="I21" s="38"/>
      <c r="J21" s="37"/>
    </row>
    <row r="22" spans="1:10" s="28" customFormat="1" ht="12.75">
      <c r="A22" s="86" t="s">
        <v>16</v>
      </c>
      <c r="B22" s="83" t="s">
        <v>102</v>
      </c>
      <c r="C22" s="59" t="s">
        <v>103</v>
      </c>
      <c r="D22" s="37">
        <v>136.39</v>
      </c>
      <c r="E22" s="37"/>
      <c r="F22" s="37"/>
      <c r="G22" s="37">
        <v>243.56</v>
      </c>
      <c r="H22" s="37"/>
      <c r="I22" s="38">
        <v>250</v>
      </c>
      <c r="J22" s="37">
        <v>1250</v>
      </c>
    </row>
    <row r="23" spans="1:10" s="28" customFormat="1" ht="12.75">
      <c r="A23" s="86" t="s">
        <v>58</v>
      </c>
      <c r="B23" s="83" t="s">
        <v>252</v>
      </c>
      <c r="C23" s="59" t="s">
        <v>62</v>
      </c>
      <c r="D23" s="37"/>
      <c r="E23" s="37"/>
      <c r="F23" s="37"/>
      <c r="G23" s="37"/>
      <c r="H23" s="37">
        <v>779.28</v>
      </c>
      <c r="I23" s="38">
        <v>810</v>
      </c>
      <c r="J23" s="37"/>
    </row>
    <row r="24" spans="1:10" s="28" customFormat="1" ht="12.75">
      <c r="A24" s="86" t="s">
        <v>61</v>
      </c>
      <c r="B24" s="83" t="s">
        <v>64</v>
      </c>
      <c r="C24" s="59" t="s">
        <v>65</v>
      </c>
      <c r="D24" s="37"/>
      <c r="E24" s="37"/>
      <c r="F24" s="37"/>
      <c r="G24" s="37">
        <v>237.56</v>
      </c>
      <c r="H24" s="37"/>
      <c r="I24" s="38">
        <v>600</v>
      </c>
      <c r="J24" s="37"/>
    </row>
    <row r="25" spans="1:10" s="28" customFormat="1" ht="12.75">
      <c r="A25" s="86" t="s">
        <v>63</v>
      </c>
      <c r="B25" s="83" t="s">
        <v>67</v>
      </c>
      <c r="C25" s="59" t="s">
        <v>68</v>
      </c>
      <c r="D25" s="37"/>
      <c r="E25" s="37"/>
      <c r="F25" s="37"/>
      <c r="G25" s="37">
        <v>237.56</v>
      </c>
      <c r="H25" s="37">
        <v>516.76</v>
      </c>
      <c r="I25" s="38">
        <v>830</v>
      </c>
      <c r="J25" s="37"/>
    </row>
    <row r="26" spans="1:10" s="28" customFormat="1" ht="12.75">
      <c r="A26" s="86" t="s">
        <v>66</v>
      </c>
      <c r="B26" s="83" t="s">
        <v>70</v>
      </c>
      <c r="C26" s="59" t="s">
        <v>71</v>
      </c>
      <c r="D26" s="37"/>
      <c r="E26" s="37"/>
      <c r="F26" s="37"/>
      <c r="G26" s="37">
        <v>238.86</v>
      </c>
      <c r="H26" s="37"/>
      <c r="I26" s="38">
        <v>650</v>
      </c>
      <c r="J26" s="37"/>
    </row>
    <row r="27" spans="1:10" s="28" customFormat="1" ht="12.75">
      <c r="A27" s="86" t="s">
        <v>69</v>
      </c>
      <c r="B27" s="83" t="s">
        <v>73</v>
      </c>
      <c r="C27" s="59" t="s">
        <v>74</v>
      </c>
      <c r="D27" s="37">
        <v>154.52</v>
      </c>
      <c r="E27" s="37"/>
      <c r="F27" s="37"/>
      <c r="G27" s="37">
        <v>299.32</v>
      </c>
      <c r="H27" s="37"/>
      <c r="I27" s="38">
        <v>768</v>
      </c>
      <c r="J27" s="37"/>
    </row>
    <row r="28" spans="1:10" s="28" customFormat="1" ht="12.75">
      <c r="A28" s="86" t="s">
        <v>72</v>
      </c>
      <c r="B28" s="83" t="s">
        <v>239</v>
      </c>
      <c r="C28" s="59" t="s">
        <v>76</v>
      </c>
      <c r="D28" s="37">
        <v>505.23</v>
      </c>
      <c r="E28" s="37"/>
      <c r="F28" s="37">
        <v>137.16</v>
      </c>
      <c r="G28" s="37">
        <v>285.84</v>
      </c>
      <c r="H28" s="37"/>
      <c r="I28" s="38">
        <v>250</v>
      </c>
      <c r="J28" s="37"/>
    </row>
    <row r="29" spans="1:10" s="28" customFormat="1" ht="12.75">
      <c r="A29" s="86" t="s">
        <v>75</v>
      </c>
      <c r="B29" s="83" t="s">
        <v>78</v>
      </c>
      <c r="C29" s="59" t="s">
        <v>79</v>
      </c>
      <c r="D29" s="37">
        <v>289.69</v>
      </c>
      <c r="E29" s="37"/>
      <c r="F29" s="37"/>
      <c r="G29" s="37">
        <v>306.55</v>
      </c>
      <c r="H29" s="37"/>
      <c r="I29" s="38"/>
      <c r="J29" s="37"/>
    </row>
    <row r="30" spans="1:10" s="28" customFormat="1" ht="12.75">
      <c r="A30" s="86" t="s">
        <v>77</v>
      </c>
      <c r="B30" s="83" t="s">
        <v>81</v>
      </c>
      <c r="C30" s="59" t="s">
        <v>82</v>
      </c>
      <c r="D30" s="37"/>
      <c r="E30" s="37"/>
      <c r="F30" s="37">
        <v>135.93</v>
      </c>
      <c r="G30" s="37">
        <v>283.31</v>
      </c>
      <c r="H30" s="37"/>
      <c r="I30" s="38"/>
      <c r="J30" s="37"/>
    </row>
    <row r="31" spans="1:10" s="28" customFormat="1" ht="12.75">
      <c r="A31" s="86" t="s">
        <v>80</v>
      </c>
      <c r="B31" s="83" t="s">
        <v>84</v>
      </c>
      <c r="C31" s="59" t="s">
        <v>85</v>
      </c>
      <c r="D31" s="37"/>
      <c r="E31" s="37"/>
      <c r="F31" s="37">
        <v>2623.18</v>
      </c>
      <c r="G31" s="37">
        <v>236.51</v>
      </c>
      <c r="H31" s="37"/>
      <c r="I31" s="38">
        <v>250</v>
      </c>
      <c r="J31" s="37"/>
    </row>
    <row r="32" spans="1:10" s="28" customFormat="1" ht="12.75">
      <c r="A32" s="86" t="s">
        <v>83</v>
      </c>
      <c r="B32" s="83" t="s">
        <v>87</v>
      </c>
      <c r="C32" s="59" t="s">
        <v>88</v>
      </c>
      <c r="D32" s="37">
        <v>83.44</v>
      </c>
      <c r="E32" s="37"/>
      <c r="F32" s="37"/>
      <c r="G32" s="37">
        <v>298.02</v>
      </c>
      <c r="H32" s="37"/>
      <c r="I32" s="38"/>
      <c r="J32" s="37"/>
    </row>
    <row r="33" spans="1:10" s="28" customFormat="1" ht="12.75">
      <c r="A33" s="86" t="s">
        <v>86</v>
      </c>
      <c r="B33" s="83" t="s">
        <v>90</v>
      </c>
      <c r="C33" s="59" t="s">
        <v>91</v>
      </c>
      <c r="D33" s="37">
        <v>464.86</v>
      </c>
      <c r="E33" s="37">
        <v>452.78</v>
      </c>
      <c r="F33" s="37"/>
      <c r="G33" s="37">
        <v>283.31</v>
      </c>
      <c r="H33" s="37"/>
      <c r="I33" s="38"/>
      <c r="J33" s="37"/>
    </row>
    <row r="34" spans="1:10" s="28" customFormat="1" ht="12.75">
      <c r="A34" s="86" t="s">
        <v>89</v>
      </c>
      <c r="B34" s="83" t="s">
        <v>94</v>
      </c>
      <c r="C34" s="59" t="s">
        <v>95</v>
      </c>
      <c r="D34" s="37">
        <v>313.11</v>
      </c>
      <c r="E34" s="37"/>
      <c r="F34" s="37">
        <v>3635.79</v>
      </c>
      <c r="G34" s="37">
        <v>298.21</v>
      </c>
      <c r="H34" s="37"/>
      <c r="I34" s="38">
        <v>250</v>
      </c>
      <c r="J34" s="37"/>
    </row>
    <row r="35" spans="1:10" s="28" customFormat="1" ht="12.75">
      <c r="A35" s="86" t="s">
        <v>92</v>
      </c>
      <c r="B35" s="83" t="s">
        <v>253</v>
      </c>
      <c r="C35" s="59" t="s">
        <v>97</v>
      </c>
      <c r="D35" s="37"/>
      <c r="E35" s="37"/>
      <c r="F35" s="37"/>
      <c r="G35" s="37">
        <v>281.89</v>
      </c>
      <c r="H35" s="37"/>
      <c r="I35" s="38"/>
      <c r="J35" s="37"/>
    </row>
    <row r="36" spans="1:10" s="28" customFormat="1" ht="13.5" thickBot="1">
      <c r="A36" s="92" t="s">
        <v>93</v>
      </c>
      <c r="B36" s="88" t="s">
        <v>99</v>
      </c>
      <c r="C36" s="60" t="s">
        <v>100</v>
      </c>
      <c r="D36" s="43">
        <v>308.27</v>
      </c>
      <c r="E36" s="43"/>
      <c r="F36" s="43">
        <v>188.9</v>
      </c>
      <c r="G36" s="43">
        <v>243.56</v>
      </c>
      <c r="H36" s="43"/>
      <c r="I36" s="44">
        <v>250</v>
      </c>
      <c r="J36" s="43"/>
    </row>
    <row r="37" spans="1:10" s="28" customFormat="1" ht="13.5" thickBot="1">
      <c r="A37" s="93" t="s">
        <v>96</v>
      </c>
      <c r="B37" s="89" t="s">
        <v>105</v>
      </c>
      <c r="C37" s="61" t="s">
        <v>106</v>
      </c>
      <c r="D37" s="48"/>
      <c r="E37" s="48"/>
      <c r="F37" s="48"/>
      <c r="G37" s="48">
        <v>235.21</v>
      </c>
      <c r="H37" s="48"/>
      <c r="I37" s="49">
        <v>867</v>
      </c>
      <c r="J37" s="76"/>
    </row>
    <row r="38" s="28" customFormat="1" ht="13.5" thickBot="1">
      <c r="J38" s="77"/>
    </row>
    <row r="39" spans="1:10" s="28" customFormat="1" ht="21.75" customHeight="1" thickBot="1">
      <c r="A39" s="54" t="s">
        <v>256</v>
      </c>
      <c r="B39" s="57" t="s">
        <v>17</v>
      </c>
      <c r="C39" s="54" t="s">
        <v>254</v>
      </c>
      <c r="D39" s="68" t="s">
        <v>259</v>
      </c>
      <c r="E39" s="68" t="s">
        <v>260</v>
      </c>
      <c r="F39" s="68" t="s">
        <v>261</v>
      </c>
      <c r="G39" s="68" t="s">
        <v>262</v>
      </c>
      <c r="H39" s="68" t="s">
        <v>263</v>
      </c>
      <c r="I39" s="69" t="s">
        <v>264</v>
      </c>
      <c r="J39" s="78"/>
    </row>
    <row r="40" spans="1:10" s="28" customFormat="1" ht="13.5" thickBot="1">
      <c r="A40" s="55" t="s">
        <v>98</v>
      </c>
      <c r="B40" s="63" t="s">
        <v>108</v>
      </c>
      <c r="C40" s="64" t="s">
        <v>109</v>
      </c>
      <c r="D40" s="56"/>
      <c r="E40" s="56">
        <v>359.96</v>
      </c>
      <c r="F40" s="56"/>
      <c r="G40" s="56">
        <v>239.97</v>
      </c>
      <c r="H40" s="56"/>
      <c r="I40" s="65">
        <v>987</v>
      </c>
      <c r="J40" s="79"/>
    </row>
    <row r="41" spans="1:10" s="28" customFormat="1" ht="12.75">
      <c r="A41" s="90" t="s">
        <v>101</v>
      </c>
      <c r="B41" s="82" t="s">
        <v>111</v>
      </c>
      <c r="C41" s="58" t="s">
        <v>112</v>
      </c>
      <c r="D41" s="32">
        <v>274.68</v>
      </c>
      <c r="E41" s="32"/>
      <c r="F41" s="32"/>
      <c r="G41" s="32">
        <v>283.31</v>
      </c>
      <c r="H41" s="32"/>
      <c r="I41" s="33">
        <v>250</v>
      </c>
      <c r="J41" s="37"/>
    </row>
    <row r="42" spans="1:10" s="28" customFormat="1" ht="12.75">
      <c r="A42" s="86" t="s">
        <v>104</v>
      </c>
      <c r="B42" s="83" t="s">
        <v>114</v>
      </c>
      <c r="C42" s="59" t="s">
        <v>115</v>
      </c>
      <c r="D42" s="37">
        <v>257.47</v>
      </c>
      <c r="E42" s="37"/>
      <c r="F42" s="37">
        <v>134.7</v>
      </c>
      <c r="G42" s="37">
        <v>282.94</v>
      </c>
      <c r="H42" s="37"/>
      <c r="I42" s="38"/>
      <c r="J42" s="37"/>
    </row>
    <row r="43" spans="1:10" s="28" customFormat="1" ht="12.75">
      <c r="A43" s="86" t="s">
        <v>107</v>
      </c>
      <c r="B43" s="83" t="s">
        <v>117</v>
      </c>
      <c r="C43" s="59" t="s">
        <v>118</v>
      </c>
      <c r="D43" s="37">
        <v>281.94</v>
      </c>
      <c r="E43" s="37"/>
      <c r="F43" s="37">
        <v>204.12</v>
      </c>
      <c r="G43" s="37">
        <v>287.7</v>
      </c>
      <c r="H43" s="37"/>
      <c r="I43" s="38">
        <v>1316</v>
      </c>
      <c r="J43" s="37"/>
    </row>
    <row r="44" spans="1:10" s="28" customFormat="1" ht="12.75">
      <c r="A44" s="86" t="s">
        <v>110</v>
      </c>
      <c r="B44" s="83" t="s">
        <v>120</v>
      </c>
      <c r="C44" s="59" t="s">
        <v>121</v>
      </c>
      <c r="D44" s="37">
        <v>137.93</v>
      </c>
      <c r="E44" s="37"/>
      <c r="F44" s="37"/>
      <c r="G44" s="37">
        <v>238.86</v>
      </c>
      <c r="H44" s="37"/>
      <c r="I44" s="38">
        <v>250</v>
      </c>
      <c r="J44" s="37"/>
    </row>
    <row r="45" spans="1:10" s="28" customFormat="1" ht="12.75">
      <c r="A45" s="86" t="s">
        <v>113</v>
      </c>
      <c r="B45" s="83" t="s">
        <v>123</v>
      </c>
      <c r="C45" s="59" t="s">
        <v>124</v>
      </c>
      <c r="D45" s="37">
        <v>80.79</v>
      </c>
      <c r="E45" s="37"/>
      <c r="F45" s="37"/>
      <c r="G45" s="37">
        <v>168.33</v>
      </c>
      <c r="H45" s="37"/>
      <c r="I45" s="38"/>
      <c r="J45" s="37"/>
    </row>
    <row r="46" spans="1:10" s="28" customFormat="1" ht="12.75">
      <c r="A46" s="86" t="s">
        <v>116</v>
      </c>
      <c r="B46" s="83" t="s">
        <v>126</v>
      </c>
      <c r="C46" s="59" t="s">
        <v>127</v>
      </c>
      <c r="D46" s="37">
        <v>415.51</v>
      </c>
      <c r="E46" s="37">
        <v>222.59</v>
      </c>
      <c r="F46" s="37"/>
      <c r="G46" s="37">
        <v>296.78</v>
      </c>
      <c r="H46" s="37"/>
      <c r="I46" s="38">
        <v>250</v>
      </c>
      <c r="J46" s="37"/>
    </row>
    <row r="47" spans="1:10" s="28" customFormat="1" ht="12.75">
      <c r="A47" s="86" t="s">
        <v>119</v>
      </c>
      <c r="B47" s="83" t="s">
        <v>129</v>
      </c>
      <c r="C47" s="59" t="s">
        <v>130</v>
      </c>
      <c r="D47" s="37">
        <v>413.23</v>
      </c>
      <c r="E47" s="37">
        <v>598.32</v>
      </c>
      <c r="F47" s="37"/>
      <c r="G47" s="37">
        <v>319.1</v>
      </c>
      <c r="H47" s="37"/>
      <c r="I47" s="38">
        <v>250</v>
      </c>
      <c r="J47" s="37"/>
    </row>
    <row r="48" spans="1:10" s="28" customFormat="1" ht="12.75">
      <c r="A48" s="86" t="s">
        <v>122</v>
      </c>
      <c r="B48" s="83" t="s">
        <v>132</v>
      </c>
      <c r="C48" s="59" t="s">
        <v>133</v>
      </c>
      <c r="D48" s="37"/>
      <c r="E48" s="37"/>
      <c r="F48" s="37"/>
      <c r="G48" s="37">
        <v>283.31</v>
      </c>
      <c r="H48" s="37"/>
      <c r="I48" s="38">
        <v>810</v>
      </c>
      <c r="J48" s="37"/>
    </row>
    <row r="49" spans="1:10" s="28" customFormat="1" ht="12.75">
      <c r="A49" s="86" t="s">
        <v>125</v>
      </c>
      <c r="B49" s="83" t="s">
        <v>135</v>
      </c>
      <c r="C49" s="59" t="s">
        <v>136</v>
      </c>
      <c r="D49" s="37"/>
      <c r="E49" s="37"/>
      <c r="F49" s="37"/>
      <c r="G49" s="37">
        <v>255.55</v>
      </c>
      <c r="H49" s="37"/>
      <c r="I49" s="38">
        <v>250</v>
      </c>
      <c r="J49" s="37"/>
    </row>
    <row r="50" spans="1:10" s="28" customFormat="1" ht="12.75">
      <c r="A50" s="86" t="s">
        <v>128</v>
      </c>
      <c r="B50" s="83" t="s">
        <v>138</v>
      </c>
      <c r="C50" s="59" t="s">
        <v>139</v>
      </c>
      <c r="D50" s="37"/>
      <c r="E50" s="37"/>
      <c r="F50" s="37"/>
      <c r="G50" s="37">
        <v>279.54</v>
      </c>
      <c r="H50" s="37"/>
      <c r="I50" s="38">
        <v>250</v>
      </c>
      <c r="J50" s="37"/>
    </row>
    <row r="51" spans="1:10" s="28" customFormat="1" ht="12.75">
      <c r="A51" s="86" t="s">
        <v>131</v>
      </c>
      <c r="B51" s="83" t="s">
        <v>141</v>
      </c>
      <c r="C51" s="59" t="s">
        <v>142</v>
      </c>
      <c r="D51" s="37"/>
      <c r="E51" s="37"/>
      <c r="F51" s="37"/>
      <c r="G51" s="37">
        <v>244.67</v>
      </c>
      <c r="H51" s="37"/>
      <c r="I51" s="38">
        <v>830</v>
      </c>
      <c r="J51" s="37"/>
    </row>
    <row r="52" spans="1:10" s="28" customFormat="1" ht="12.75">
      <c r="A52" s="86" t="s">
        <v>134</v>
      </c>
      <c r="B52" s="83" t="s">
        <v>145</v>
      </c>
      <c r="C52" s="59" t="s">
        <v>146</v>
      </c>
      <c r="D52" s="37"/>
      <c r="E52" s="37"/>
      <c r="F52" s="37"/>
      <c r="G52" s="37">
        <v>282.07</v>
      </c>
      <c r="H52" s="37"/>
      <c r="I52" s="38">
        <v>250</v>
      </c>
      <c r="J52" s="37"/>
    </row>
    <row r="53" spans="1:10" s="28" customFormat="1" ht="12.75">
      <c r="A53" s="86" t="s">
        <v>137</v>
      </c>
      <c r="B53" s="83" t="s">
        <v>148</v>
      </c>
      <c r="C53" s="59" t="s">
        <v>149</v>
      </c>
      <c r="D53" s="37">
        <v>63.61</v>
      </c>
      <c r="E53" s="37"/>
      <c r="F53" s="37"/>
      <c r="G53" s="37">
        <v>242.32</v>
      </c>
      <c r="H53" s="37"/>
      <c r="I53" s="38">
        <v>877</v>
      </c>
      <c r="J53" s="37"/>
    </row>
    <row r="54" spans="1:10" s="28" customFormat="1" ht="12.75">
      <c r="A54" s="86" t="s">
        <v>140</v>
      </c>
      <c r="B54" s="83" t="s">
        <v>151</v>
      </c>
      <c r="C54" s="59" t="s">
        <v>152</v>
      </c>
      <c r="D54" s="37"/>
      <c r="E54" s="37"/>
      <c r="F54" s="37"/>
      <c r="G54" s="37">
        <v>241.21</v>
      </c>
      <c r="H54" s="37"/>
      <c r="I54" s="38">
        <v>600</v>
      </c>
      <c r="J54" s="37"/>
    </row>
    <row r="55" spans="1:10" s="28" customFormat="1" ht="12.75">
      <c r="A55" s="86" t="s">
        <v>143</v>
      </c>
      <c r="B55" s="83" t="s">
        <v>154</v>
      </c>
      <c r="C55" s="59" t="s">
        <v>155</v>
      </c>
      <c r="D55" s="37"/>
      <c r="E55" s="37"/>
      <c r="F55" s="37"/>
      <c r="G55" s="37">
        <v>244.67</v>
      </c>
      <c r="H55" s="37"/>
      <c r="I55" s="38">
        <v>810</v>
      </c>
      <c r="J55" s="37"/>
    </row>
    <row r="56" spans="1:10" s="28" customFormat="1" ht="12.75">
      <c r="A56" s="86" t="s">
        <v>144</v>
      </c>
      <c r="B56" s="83" t="s">
        <v>158</v>
      </c>
      <c r="C56" s="59" t="s">
        <v>159</v>
      </c>
      <c r="D56" s="37"/>
      <c r="E56" s="37"/>
      <c r="F56" s="37"/>
      <c r="G56" s="37">
        <v>279.54</v>
      </c>
      <c r="H56" s="37"/>
      <c r="I56" s="38">
        <v>810</v>
      </c>
      <c r="J56" s="37"/>
    </row>
    <row r="57" spans="1:10" s="28" customFormat="1" ht="12.75">
      <c r="A57" s="86" t="s">
        <v>147</v>
      </c>
      <c r="B57" s="83" t="s">
        <v>162</v>
      </c>
      <c r="C57" s="59" t="s">
        <v>163</v>
      </c>
      <c r="D57" s="37"/>
      <c r="E57" s="37"/>
      <c r="F57" s="37"/>
      <c r="G57" s="37">
        <v>94.6</v>
      </c>
      <c r="H57" s="37"/>
      <c r="I57" s="38">
        <v>600</v>
      </c>
      <c r="J57" s="37"/>
    </row>
    <row r="58" spans="1:10" s="28" customFormat="1" ht="12.75">
      <c r="A58" s="86" t="s">
        <v>150</v>
      </c>
      <c r="B58" s="83" t="s">
        <v>165</v>
      </c>
      <c r="C58" s="59" t="s">
        <v>166</v>
      </c>
      <c r="D58" s="37"/>
      <c r="E58" s="37"/>
      <c r="F58" s="37"/>
      <c r="G58" s="37">
        <v>55.9</v>
      </c>
      <c r="H58" s="37"/>
      <c r="I58" s="38"/>
      <c r="J58" s="37"/>
    </row>
    <row r="59" spans="1:10" s="28" customFormat="1" ht="12.75">
      <c r="A59" s="86" t="s">
        <v>153</v>
      </c>
      <c r="B59" s="83" t="s">
        <v>168</v>
      </c>
      <c r="C59" s="59" t="s">
        <v>169</v>
      </c>
      <c r="D59" s="37"/>
      <c r="E59" s="37"/>
      <c r="F59" s="37"/>
      <c r="G59" s="37">
        <v>50.89</v>
      </c>
      <c r="H59" s="37"/>
      <c r="I59" s="38">
        <v>768</v>
      </c>
      <c r="J59" s="37"/>
    </row>
    <row r="60" spans="1:10" s="28" customFormat="1" ht="12.75">
      <c r="A60" s="86" t="s">
        <v>156</v>
      </c>
      <c r="B60" s="83" t="s">
        <v>171</v>
      </c>
      <c r="C60" s="59" t="s">
        <v>172</v>
      </c>
      <c r="D60" s="37"/>
      <c r="E60" s="37">
        <v>531.32</v>
      </c>
      <c r="F60" s="37"/>
      <c r="G60" s="37">
        <v>209</v>
      </c>
      <c r="H60" s="37"/>
      <c r="I60" s="38">
        <v>650</v>
      </c>
      <c r="J60" s="37"/>
    </row>
    <row r="61" spans="1:10" s="28" customFormat="1" ht="12.75">
      <c r="A61" s="86" t="s">
        <v>157</v>
      </c>
      <c r="B61" s="83" t="s">
        <v>174</v>
      </c>
      <c r="C61" s="59" t="s">
        <v>175</v>
      </c>
      <c r="D61" s="37"/>
      <c r="E61" s="37"/>
      <c r="F61" s="37"/>
      <c r="G61" s="37">
        <v>190.58</v>
      </c>
      <c r="H61" s="37"/>
      <c r="I61" s="38"/>
      <c r="J61" s="37">
        <v>170</v>
      </c>
    </row>
    <row r="62" spans="1:10" s="28" customFormat="1" ht="12.75">
      <c r="A62" s="86" t="s">
        <v>160</v>
      </c>
      <c r="B62" s="83" t="s">
        <v>180</v>
      </c>
      <c r="C62" s="59" t="s">
        <v>181</v>
      </c>
      <c r="D62" s="37"/>
      <c r="E62" s="37"/>
      <c r="F62" s="37"/>
      <c r="G62" s="37">
        <v>124.31</v>
      </c>
      <c r="H62" s="37"/>
      <c r="I62" s="38">
        <v>250</v>
      </c>
      <c r="J62" s="37"/>
    </row>
    <row r="63" spans="1:10" s="28" customFormat="1" ht="12.75">
      <c r="A63" s="86" t="s">
        <v>161</v>
      </c>
      <c r="B63" s="83" t="s">
        <v>183</v>
      </c>
      <c r="C63" s="59" t="s">
        <v>184</v>
      </c>
      <c r="D63" s="37"/>
      <c r="E63" s="37"/>
      <c r="F63" s="37"/>
      <c r="G63" s="37"/>
      <c r="H63" s="37"/>
      <c r="I63" s="38"/>
      <c r="J63" s="37"/>
    </row>
    <row r="64" spans="1:10" s="28" customFormat="1" ht="12.75">
      <c r="A64" s="86" t="s">
        <v>164</v>
      </c>
      <c r="B64" s="83" t="s">
        <v>186</v>
      </c>
      <c r="C64" s="59" t="s">
        <v>187</v>
      </c>
      <c r="D64" s="37"/>
      <c r="E64" s="37"/>
      <c r="F64" s="37"/>
      <c r="G64" s="37">
        <v>59.65</v>
      </c>
      <c r="H64" s="37"/>
      <c r="I64" s="38"/>
      <c r="J64" s="37"/>
    </row>
    <row r="65" spans="1:10" s="28" customFormat="1" ht="12.75">
      <c r="A65" s="86" t="s">
        <v>167</v>
      </c>
      <c r="B65" s="83" t="s">
        <v>189</v>
      </c>
      <c r="C65" s="59" t="s">
        <v>190</v>
      </c>
      <c r="D65" s="37"/>
      <c r="E65" s="37"/>
      <c r="F65" s="37"/>
      <c r="G65" s="37">
        <v>126.66</v>
      </c>
      <c r="H65" s="37"/>
      <c r="I65" s="38">
        <v>250</v>
      </c>
      <c r="J65" s="37"/>
    </row>
    <row r="66" spans="1:10" s="28" customFormat="1" ht="12.75">
      <c r="A66" s="86" t="s">
        <v>170</v>
      </c>
      <c r="B66" s="83" t="s">
        <v>192</v>
      </c>
      <c r="C66" s="59" t="s">
        <v>193</v>
      </c>
      <c r="D66" s="37"/>
      <c r="E66" s="37"/>
      <c r="F66" s="37"/>
      <c r="G66" s="37">
        <v>121.04</v>
      </c>
      <c r="H66" s="37"/>
      <c r="I66" s="38">
        <v>250</v>
      </c>
      <c r="J66" s="37"/>
    </row>
    <row r="67" spans="1:10" s="28" customFormat="1" ht="12.75">
      <c r="A67" s="86" t="s">
        <v>173</v>
      </c>
      <c r="B67" s="83" t="s">
        <v>195</v>
      </c>
      <c r="C67" s="59" t="s">
        <v>196</v>
      </c>
      <c r="D67" s="37"/>
      <c r="E67" s="37"/>
      <c r="F67" s="37"/>
      <c r="G67" s="37">
        <v>119.24</v>
      </c>
      <c r="H67" s="37"/>
      <c r="I67" s="38">
        <v>250</v>
      </c>
      <c r="J67" s="37"/>
    </row>
    <row r="68" spans="1:10" s="28" customFormat="1" ht="12.75">
      <c r="A68" s="86" t="s">
        <v>176</v>
      </c>
      <c r="B68" s="83" t="s">
        <v>198</v>
      </c>
      <c r="C68" s="59" t="s">
        <v>199</v>
      </c>
      <c r="D68" s="37"/>
      <c r="E68" s="37"/>
      <c r="F68" s="37"/>
      <c r="G68" s="37">
        <v>121.31</v>
      </c>
      <c r="H68" s="37"/>
      <c r="I68" s="38">
        <v>600</v>
      </c>
      <c r="J68" s="37"/>
    </row>
    <row r="69" spans="1:10" s="28" customFormat="1" ht="12.75">
      <c r="A69" s="86" t="s">
        <v>179</v>
      </c>
      <c r="B69" s="83" t="s">
        <v>201</v>
      </c>
      <c r="C69" s="59" t="s">
        <v>202</v>
      </c>
      <c r="D69" s="37"/>
      <c r="E69" s="37"/>
      <c r="F69" s="37"/>
      <c r="G69" s="37"/>
      <c r="H69" s="37"/>
      <c r="I69" s="38"/>
      <c r="J69" s="37"/>
    </row>
    <row r="70" spans="1:10" s="28" customFormat="1" ht="12.75">
      <c r="A70" s="86" t="s">
        <v>182</v>
      </c>
      <c r="B70" s="83" t="s">
        <v>204</v>
      </c>
      <c r="C70" s="59" t="s">
        <v>205</v>
      </c>
      <c r="D70" s="37"/>
      <c r="E70" s="37"/>
      <c r="F70" s="37"/>
      <c r="G70" s="37">
        <v>159.73</v>
      </c>
      <c r="H70" s="37"/>
      <c r="I70" s="38">
        <v>850</v>
      </c>
      <c r="J70" s="37">
        <v>170</v>
      </c>
    </row>
    <row r="71" spans="1:10" s="28" customFormat="1" ht="12.75">
      <c r="A71" s="86" t="s">
        <v>185</v>
      </c>
      <c r="B71" s="83" t="s">
        <v>207</v>
      </c>
      <c r="C71" s="59" t="s">
        <v>208</v>
      </c>
      <c r="D71" s="37"/>
      <c r="E71" s="37"/>
      <c r="F71" s="37"/>
      <c r="G71" s="37">
        <v>124.31</v>
      </c>
      <c r="H71" s="37"/>
      <c r="I71" s="38">
        <v>250</v>
      </c>
      <c r="J71" s="37"/>
    </row>
    <row r="72" spans="1:10" s="28" customFormat="1" ht="13.5" thickBot="1">
      <c r="A72" s="86" t="s">
        <v>188</v>
      </c>
      <c r="B72" s="88" t="s">
        <v>210</v>
      </c>
      <c r="C72" s="60" t="s">
        <v>211</v>
      </c>
      <c r="D72" s="43"/>
      <c r="E72" s="43"/>
      <c r="F72" s="43"/>
      <c r="G72" s="43">
        <v>252.09</v>
      </c>
      <c r="H72" s="43"/>
      <c r="I72" s="44">
        <v>250</v>
      </c>
      <c r="J72" s="43"/>
    </row>
    <row r="73" spans="1:10" s="28" customFormat="1" ht="13.5" thickBot="1">
      <c r="A73" s="91" t="s">
        <v>191</v>
      </c>
      <c r="B73" s="89" t="s">
        <v>213</v>
      </c>
      <c r="C73" s="61" t="s">
        <v>214</v>
      </c>
      <c r="D73" s="48"/>
      <c r="E73" s="48"/>
      <c r="F73" s="48"/>
      <c r="G73" s="48">
        <v>239.97</v>
      </c>
      <c r="H73" s="48">
        <v>521.89</v>
      </c>
      <c r="I73" s="62"/>
      <c r="J73" s="76"/>
    </row>
    <row r="74" spans="1:10" s="28" customFormat="1" ht="12.75">
      <c r="A74" s="70"/>
      <c r="B74" s="71"/>
      <c r="C74" s="72"/>
      <c r="D74" s="73"/>
      <c r="E74" s="73"/>
      <c r="F74" s="73"/>
      <c r="G74" s="73"/>
      <c r="H74" s="73"/>
      <c r="I74" s="73"/>
      <c r="J74" s="73"/>
    </row>
    <row r="75" spans="1:10" s="28" customFormat="1" ht="12.75">
      <c r="A75" s="70"/>
      <c r="B75" s="71"/>
      <c r="C75" s="72"/>
      <c r="D75" s="73"/>
      <c r="E75" s="73"/>
      <c r="F75" s="73"/>
      <c r="G75" s="73"/>
      <c r="H75" s="73"/>
      <c r="I75" s="73"/>
      <c r="J75" s="73"/>
    </row>
    <row r="76" s="28" customFormat="1" ht="11.25" customHeight="1">
      <c r="J76" s="77"/>
    </row>
    <row r="77" s="28" customFormat="1" ht="13.5" thickBot="1">
      <c r="J77" s="77"/>
    </row>
    <row r="78" spans="1:10" s="28" customFormat="1" ht="21.75" customHeight="1" thickBot="1">
      <c r="A78" s="54" t="s">
        <v>256</v>
      </c>
      <c r="B78" s="57" t="s">
        <v>17</v>
      </c>
      <c r="C78" s="54" t="s">
        <v>254</v>
      </c>
      <c r="D78" s="68" t="s">
        <v>259</v>
      </c>
      <c r="E78" s="68" t="s">
        <v>260</v>
      </c>
      <c r="F78" s="68" t="s">
        <v>261</v>
      </c>
      <c r="G78" s="68" t="s">
        <v>262</v>
      </c>
      <c r="H78" s="68" t="s">
        <v>263</v>
      </c>
      <c r="I78" s="69" t="s">
        <v>264</v>
      </c>
      <c r="J78" s="78"/>
    </row>
    <row r="79" spans="1:10" s="28" customFormat="1" ht="13.5" thickBot="1">
      <c r="A79" s="85">
        <v>67</v>
      </c>
      <c r="B79" s="81" t="s">
        <v>216</v>
      </c>
      <c r="C79" s="64" t="s">
        <v>217</v>
      </c>
      <c r="D79" s="56"/>
      <c r="E79" s="56"/>
      <c r="F79" s="56"/>
      <c r="G79" s="56">
        <v>241.21</v>
      </c>
      <c r="H79" s="56"/>
      <c r="I79" s="65">
        <v>250</v>
      </c>
      <c r="J79" s="76"/>
    </row>
    <row r="80" spans="1:10" s="28" customFormat="1" ht="12.75">
      <c r="A80" s="86">
        <f aca="true" t="shared" si="0" ref="A80:A92">SUM(A79+1)</f>
        <v>68</v>
      </c>
      <c r="B80" s="82" t="s">
        <v>221</v>
      </c>
      <c r="C80" s="58" t="s">
        <v>222</v>
      </c>
      <c r="D80" s="32">
        <v>289.73</v>
      </c>
      <c r="E80" s="32"/>
      <c r="F80" s="32">
        <v>398.97</v>
      </c>
      <c r="G80" s="32">
        <v>236.51</v>
      </c>
      <c r="H80" s="32"/>
      <c r="I80" s="33">
        <v>1956</v>
      </c>
      <c r="J80" s="32"/>
    </row>
    <row r="81" spans="1:10" s="28" customFormat="1" ht="12.75">
      <c r="A81" s="86">
        <f t="shared" si="0"/>
        <v>69</v>
      </c>
      <c r="B81" s="83" t="s">
        <v>224</v>
      </c>
      <c r="C81" s="59" t="s">
        <v>225</v>
      </c>
      <c r="D81" s="37"/>
      <c r="E81" s="37"/>
      <c r="F81" s="37"/>
      <c r="G81" s="37"/>
      <c r="H81" s="37"/>
      <c r="I81" s="38">
        <v>810</v>
      </c>
      <c r="J81" s="37"/>
    </row>
    <row r="82" spans="1:10" s="28" customFormat="1" ht="12.75">
      <c r="A82" s="86">
        <f t="shared" si="0"/>
        <v>70</v>
      </c>
      <c r="B82" s="83" t="s">
        <v>227</v>
      </c>
      <c r="C82" s="59" t="s">
        <v>228</v>
      </c>
      <c r="D82" s="37"/>
      <c r="E82" s="37"/>
      <c r="F82" s="37"/>
      <c r="G82" s="37"/>
      <c r="H82" s="37"/>
      <c r="I82" s="38">
        <v>250</v>
      </c>
      <c r="J82" s="37"/>
    </row>
    <row r="83" spans="1:10" s="28" customFormat="1" ht="12.75">
      <c r="A83" s="86">
        <f t="shared" si="0"/>
        <v>71</v>
      </c>
      <c r="B83" s="83" t="s">
        <v>230</v>
      </c>
      <c r="C83" s="59" t="s">
        <v>231</v>
      </c>
      <c r="D83" s="37"/>
      <c r="E83" s="37"/>
      <c r="F83" s="37"/>
      <c r="G83" s="37"/>
      <c r="H83" s="37"/>
      <c r="I83" s="38">
        <v>250</v>
      </c>
      <c r="J83" s="37"/>
    </row>
    <row r="84" spans="1:10" s="28" customFormat="1" ht="12.75">
      <c r="A84" s="86">
        <f t="shared" si="0"/>
        <v>72</v>
      </c>
      <c r="B84" s="83" t="s">
        <v>258</v>
      </c>
      <c r="C84" s="59"/>
      <c r="D84" s="37"/>
      <c r="E84" s="37"/>
      <c r="F84" s="37"/>
      <c r="G84" s="37"/>
      <c r="H84" s="37"/>
      <c r="I84" s="38">
        <f>SUM(1646/2)</f>
        <v>823</v>
      </c>
      <c r="J84" s="37"/>
    </row>
    <row r="85" spans="1:10" s="28" customFormat="1" ht="12.75">
      <c r="A85" s="86">
        <f t="shared" si="0"/>
        <v>73</v>
      </c>
      <c r="B85" s="83" t="s">
        <v>232</v>
      </c>
      <c r="C85" s="59" t="s">
        <v>233</v>
      </c>
      <c r="D85" s="37"/>
      <c r="E85" s="37"/>
      <c r="F85" s="37"/>
      <c r="G85" s="37">
        <v>113.32</v>
      </c>
      <c r="H85" s="37"/>
      <c r="I85" s="38">
        <v>250</v>
      </c>
      <c r="J85" s="37"/>
    </row>
    <row r="86" spans="1:10" s="28" customFormat="1" ht="12.75">
      <c r="A86" s="86">
        <f t="shared" si="0"/>
        <v>74</v>
      </c>
      <c r="B86" s="83" t="s">
        <v>234</v>
      </c>
      <c r="C86" s="59" t="s">
        <v>235</v>
      </c>
      <c r="D86" s="37"/>
      <c r="E86" s="37"/>
      <c r="F86" s="37"/>
      <c r="G86" s="37"/>
      <c r="H86" s="37"/>
      <c r="I86" s="38"/>
      <c r="J86" s="37"/>
    </row>
    <row r="87" spans="1:10" s="28" customFormat="1" ht="12.75">
      <c r="A87" s="86">
        <f t="shared" si="0"/>
        <v>75</v>
      </c>
      <c r="B87" s="83" t="s">
        <v>236</v>
      </c>
      <c r="C87" s="59" t="s">
        <v>237</v>
      </c>
      <c r="D87" s="37"/>
      <c r="E87" s="37"/>
      <c r="F87" s="37"/>
      <c r="G87" s="37">
        <v>59.87</v>
      </c>
      <c r="H87" s="37"/>
      <c r="I87" s="38"/>
      <c r="J87" s="37"/>
    </row>
    <row r="88" spans="1:10" s="28" customFormat="1" ht="12.75">
      <c r="A88" s="86">
        <f t="shared" si="0"/>
        <v>76</v>
      </c>
      <c r="B88" s="83" t="s">
        <v>240</v>
      </c>
      <c r="C88" s="59" t="s">
        <v>241</v>
      </c>
      <c r="D88" s="37"/>
      <c r="E88" s="37"/>
      <c r="F88" s="37">
        <v>125.65</v>
      </c>
      <c r="G88" s="37">
        <v>192.37</v>
      </c>
      <c r="H88" s="37"/>
      <c r="I88" s="38">
        <v>752</v>
      </c>
      <c r="J88" s="37"/>
    </row>
    <row r="89" spans="1:10" s="28" customFormat="1" ht="12.75">
      <c r="A89" s="86">
        <f t="shared" si="0"/>
        <v>77</v>
      </c>
      <c r="B89" s="83" t="s">
        <v>242</v>
      </c>
      <c r="C89" s="59" t="s">
        <v>243</v>
      </c>
      <c r="D89" s="37"/>
      <c r="E89" s="37"/>
      <c r="F89" s="37"/>
      <c r="G89" s="37">
        <v>54.46</v>
      </c>
      <c r="H89" s="37"/>
      <c r="I89" s="38">
        <v>1200</v>
      </c>
      <c r="J89" s="37"/>
    </row>
    <row r="90" spans="1:10" s="28" customFormat="1" ht="12.75">
      <c r="A90" s="86">
        <f t="shared" si="0"/>
        <v>78</v>
      </c>
      <c r="B90" s="83" t="s">
        <v>244</v>
      </c>
      <c r="C90" s="59" t="s">
        <v>245</v>
      </c>
      <c r="D90" s="37"/>
      <c r="E90" s="37"/>
      <c r="F90" s="37"/>
      <c r="G90" s="37">
        <v>241.21</v>
      </c>
      <c r="H90" s="37">
        <v>180.19</v>
      </c>
      <c r="I90" s="38">
        <v>830</v>
      </c>
      <c r="J90" s="37"/>
    </row>
    <row r="91" spans="1:10" s="28" customFormat="1" ht="12.75">
      <c r="A91" s="86">
        <f t="shared" si="0"/>
        <v>79</v>
      </c>
      <c r="B91" s="83" t="s">
        <v>246</v>
      </c>
      <c r="C91" s="59" t="s">
        <v>247</v>
      </c>
      <c r="D91" s="37"/>
      <c r="E91" s="37"/>
      <c r="F91" s="37"/>
      <c r="G91" s="37">
        <v>243.56</v>
      </c>
      <c r="H91" s="37"/>
      <c r="I91" s="38">
        <v>600</v>
      </c>
      <c r="J91" s="37"/>
    </row>
    <row r="92" spans="1:10" s="28" customFormat="1" ht="13.5" thickBot="1">
      <c r="A92" s="86">
        <f t="shared" si="0"/>
        <v>80</v>
      </c>
      <c r="B92" s="83" t="s">
        <v>248</v>
      </c>
      <c r="C92" s="59" t="s">
        <v>249</v>
      </c>
      <c r="D92" s="37">
        <v>152.8</v>
      </c>
      <c r="E92" s="37"/>
      <c r="F92" s="37"/>
      <c r="G92" s="37">
        <v>239.23</v>
      </c>
      <c r="H92" s="37"/>
      <c r="I92" s="38">
        <v>600</v>
      </c>
      <c r="J92" s="43"/>
    </row>
    <row r="93" spans="1:10" s="1" customFormat="1" ht="19.5" thickBot="1">
      <c r="A93" s="87"/>
      <c r="B93" s="84" t="s">
        <v>238</v>
      </c>
      <c r="C93" s="66"/>
      <c r="D93" s="12">
        <f aca="true" t="shared" si="1" ref="D93:I93">SUM(D6:D92)</f>
        <v>6125.240000000001</v>
      </c>
      <c r="E93" s="12">
        <f t="shared" si="1"/>
        <v>2561.65</v>
      </c>
      <c r="F93" s="12">
        <f t="shared" si="1"/>
        <v>7584.399999999999</v>
      </c>
      <c r="G93" s="12">
        <f t="shared" si="1"/>
        <v>15677.119999999997</v>
      </c>
      <c r="H93" s="12">
        <f t="shared" si="1"/>
        <v>3214.41</v>
      </c>
      <c r="I93" s="67">
        <f t="shared" si="1"/>
        <v>33311</v>
      </c>
      <c r="J93" s="80"/>
    </row>
    <row r="94" s="28" customFormat="1" ht="12.75">
      <c r="J94" s="77"/>
    </row>
    <row r="95" s="28" customFormat="1" ht="12.75">
      <c r="J95" s="77"/>
    </row>
    <row r="96" s="28" customFormat="1" ht="12.75">
      <c r="J96" s="77"/>
    </row>
    <row r="97" s="28" customFormat="1" ht="12.75">
      <c r="J97" s="77"/>
    </row>
    <row r="98" s="28" customFormat="1" ht="12.75">
      <c r="J98" s="77"/>
    </row>
    <row r="99" s="28" customFormat="1" ht="12.75">
      <c r="J99" s="77"/>
    </row>
    <row r="100" s="28" customFormat="1" ht="12.75">
      <c r="J100" s="77"/>
    </row>
    <row r="101" s="28" customFormat="1" ht="12.75">
      <c r="J101" s="77"/>
    </row>
    <row r="102" s="28" customFormat="1" ht="12.75">
      <c r="J102" s="77"/>
    </row>
    <row r="103" s="28" customFormat="1" ht="12.75">
      <c r="J103" s="77"/>
    </row>
    <row r="104" s="28" customFormat="1" ht="12.75">
      <c r="J104" s="77"/>
    </row>
    <row r="105" s="28" customFormat="1" ht="12.75">
      <c r="J105" s="77"/>
    </row>
    <row r="106" s="28" customFormat="1" ht="12.75">
      <c r="J106" s="77"/>
    </row>
    <row r="107" s="28" customFormat="1" ht="12.75">
      <c r="J107" s="77"/>
    </row>
    <row r="108" s="28" customFormat="1" ht="12.75">
      <c r="J108" s="77"/>
    </row>
    <row r="109" s="28" customFormat="1" ht="12.75">
      <c r="J109" s="77"/>
    </row>
    <row r="110" s="28" customFormat="1" ht="12.75">
      <c r="J110" s="77"/>
    </row>
    <row r="111" s="28" customFormat="1" ht="12.75">
      <c r="J111" s="77"/>
    </row>
    <row r="112" s="28" customFormat="1" ht="12.75">
      <c r="J112" s="77"/>
    </row>
    <row r="113" s="28" customFormat="1" ht="12.75">
      <c r="J113" s="77"/>
    </row>
    <row r="114" s="28" customFormat="1" ht="12.75">
      <c r="J114" s="77"/>
    </row>
    <row r="115" s="28" customFormat="1" ht="12.75">
      <c r="J115" s="77"/>
    </row>
    <row r="116" s="28" customFormat="1" ht="12.75">
      <c r="J116" s="77"/>
    </row>
    <row r="117" s="28" customFormat="1" ht="12.75">
      <c r="J117" s="77"/>
    </row>
    <row r="118" s="28" customFormat="1" ht="12.75">
      <c r="J118" s="77"/>
    </row>
    <row r="119" s="28" customFormat="1" ht="12.75">
      <c r="J119" s="77"/>
    </row>
    <row r="120" s="28" customFormat="1" ht="12.75">
      <c r="J120" s="77"/>
    </row>
    <row r="121" s="28" customFormat="1" ht="12.75">
      <c r="J121" s="77"/>
    </row>
    <row r="122" s="28" customFormat="1" ht="12.75">
      <c r="J122" s="77"/>
    </row>
    <row r="123" s="28" customFormat="1" ht="12.75">
      <c r="J123" s="77"/>
    </row>
    <row r="124" s="28" customFormat="1" ht="12.75">
      <c r="J124" s="77"/>
    </row>
    <row r="125" s="28" customFormat="1" ht="12.75">
      <c r="J125" s="77"/>
    </row>
    <row r="126" s="28" customFormat="1" ht="12.75">
      <c r="J126" s="77"/>
    </row>
    <row r="127" s="28" customFormat="1" ht="12.75">
      <c r="J127" s="77"/>
    </row>
    <row r="128" s="28" customFormat="1" ht="12.75">
      <c r="J128" s="77"/>
    </row>
    <row r="129" s="28" customFormat="1" ht="12.75">
      <c r="J129" s="77"/>
    </row>
    <row r="130" s="28" customFormat="1" ht="12.75">
      <c r="J130" s="77"/>
    </row>
    <row r="131" s="28" customFormat="1" ht="12.75">
      <c r="J131" s="77"/>
    </row>
    <row r="132" s="28" customFormat="1" ht="12.75">
      <c r="J132" s="77"/>
    </row>
    <row r="133" s="28" customFormat="1" ht="12.75">
      <c r="J133" s="77"/>
    </row>
    <row r="134" s="28" customFormat="1" ht="12.75">
      <c r="J134" s="77"/>
    </row>
    <row r="135" s="28" customFormat="1" ht="12.75">
      <c r="J135" s="77"/>
    </row>
    <row r="136" s="28" customFormat="1" ht="12.75">
      <c r="J136" s="77"/>
    </row>
    <row r="137" s="28" customFormat="1" ht="12.75">
      <c r="J137" s="77"/>
    </row>
    <row r="138" s="28" customFormat="1" ht="12.75">
      <c r="J138" s="77"/>
    </row>
    <row r="139" s="28" customFormat="1" ht="12.75">
      <c r="J139" s="77"/>
    </row>
    <row r="140" s="28" customFormat="1" ht="12.75">
      <c r="J140" s="77"/>
    </row>
    <row r="141" s="28" customFormat="1" ht="12.75">
      <c r="J141" s="77"/>
    </row>
    <row r="142" s="28" customFormat="1" ht="12.75">
      <c r="J142" s="77"/>
    </row>
    <row r="143" s="28" customFormat="1" ht="12.75">
      <c r="J143" s="77"/>
    </row>
    <row r="144" s="28" customFormat="1" ht="12.75">
      <c r="J144" s="77"/>
    </row>
    <row r="145" s="28" customFormat="1" ht="12.75">
      <c r="J145" s="77"/>
    </row>
    <row r="146" s="28" customFormat="1" ht="12.75">
      <c r="J146" s="77"/>
    </row>
    <row r="147" s="28" customFormat="1" ht="12.75">
      <c r="J147" s="77"/>
    </row>
    <row r="148" s="28" customFormat="1" ht="12.75">
      <c r="J148" s="77"/>
    </row>
    <row r="149" s="28" customFormat="1" ht="12.75">
      <c r="J149" s="77"/>
    </row>
    <row r="150" s="28" customFormat="1" ht="12.75">
      <c r="J150" s="77"/>
    </row>
    <row r="151" s="28" customFormat="1" ht="12.75">
      <c r="J151" s="77"/>
    </row>
    <row r="152" s="28" customFormat="1" ht="12.75">
      <c r="J152" s="77"/>
    </row>
    <row r="153" s="28" customFormat="1" ht="12.75">
      <c r="J153" s="77"/>
    </row>
    <row r="154" s="28" customFormat="1" ht="12.75">
      <c r="J154" s="77"/>
    </row>
    <row r="155" s="28" customFormat="1" ht="12.75">
      <c r="J155" s="77"/>
    </row>
    <row r="156" s="28" customFormat="1" ht="12.75">
      <c r="J156" s="77"/>
    </row>
    <row r="157" s="28" customFormat="1" ht="12.75">
      <c r="J157" s="77"/>
    </row>
    <row r="158" s="28" customFormat="1" ht="12.75">
      <c r="J158" s="77"/>
    </row>
    <row r="159" s="28" customFormat="1" ht="12.75">
      <c r="J159" s="77"/>
    </row>
    <row r="160" s="28" customFormat="1" ht="12.75">
      <c r="J160" s="77"/>
    </row>
    <row r="161" s="28" customFormat="1" ht="12.75">
      <c r="J161" s="77"/>
    </row>
    <row r="162" s="28" customFormat="1" ht="12.75">
      <c r="J162" s="77"/>
    </row>
    <row r="163" s="28" customFormat="1" ht="12.75">
      <c r="J163" s="77"/>
    </row>
    <row r="164" s="28" customFormat="1" ht="12.75">
      <c r="J164" s="77"/>
    </row>
    <row r="165" s="28" customFormat="1" ht="12.75">
      <c r="J165" s="77"/>
    </row>
    <row r="166" s="28" customFormat="1" ht="12.75">
      <c r="J166" s="77"/>
    </row>
    <row r="167" s="28" customFormat="1" ht="12.75">
      <c r="J167" s="77"/>
    </row>
    <row r="168" s="28" customFormat="1" ht="12.75">
      <c r="J168" s="77"/>
    </row>
    <row r="169" s="28" customFormat="1" ht="12.75">
      <c r="J169" s="77"/>
    </row>
    <row r="170" s="28" customFormat="1" ht="12.75">
      <c r="J170" s="77"/>
    </row>
    <row r="171" s="28" customFormat="1" ht="12.75">
      <c r="J171" s="77"/>
    </row>
    <row r="172" s="28" customFormat="1" ht="12.75">
      <c r="J172" s="77"/>
    </row>
    <row r="173" s="28" customFormat="1" ht="12.75">
      <c r="J173" s="77"/>
    </row>
    <row r="174" s="28" customFormat="1" ht="12.75">
      <c r="J174" s="77"/>
    </row>
    <row r="175" s="28" customFormat="1" ht="12.75">
      <c r="J175" s="77"/>
    </row>
    <row r="176" s="28" customFormat="1" ht="12.75">
      <c r="J176" s="77"/>
    </row>
    <row r="177" s="28" customFormat="1" ht="12.75">
      <c r="J177" s="77"/>
    </row>
    <row r="178" s="28" customFormat="1" ht="12.75">
      <c r="J178" s="77"/>
    </row>
    <row r="179" s="28" customFormat="1" ht="12.75">
      <c r="J179" s="77"/>
    </row>
    <row r="180" s="28" customFormat="1" ht="12.75">
      <c r="J180" s="77"/>
    </row>
    <row r="181" s="28" customFormat="1" ht="12.75">
      <c r="J181" s="77"/>
    </row>
    <row r="182" s="28" customFormat="1" ht="12.75">
      <c r="J182" s="77"/>
    </row>
    <row r="183" s="28" customFormat="1" ht="12.75">
      <c r="J183" s="77"/>
    </row>
    <row r="184" s="28" customFormat="1" ht="12.75">
      <c r="J184" s="77"/>
    </row>
    <row r="185" s="28" customFormat="1" ht="12.75">
      <c r="J185" s="77"/>
    </row>
    <row r="186" s="28" customFormat="1" ht="12.75">
      <c r="J186" s="77"/>
    </row>
    <row r="187" s="28" customFormat="1" ht="12.75">
      <c r="J187" s="77"/>
    </row>
    <row r="188" s="28" customFormat="1" ht="12.75">
      <c r="J188" s="77"/>
    </row>
    <row r="189" s="28" customFormat="1" ht="12.75">
      <c r="J189" s="77"/>
    </row>
    <row r="190" s="28" customFormat="1" ht="12.75">
      <c r="J190" s="77"/>
    </row>
    <row r="191" s="28" customFormat="1" ht="12.75">
      <c r="J191" s="77"/>
    </row>
    <row r="192" s="28" customFormat="1" ht="12.75">
      <c r="J192" s="77"/>
    </row>
    <row r="193" s="28" customFormat="1" ht="12.75">
      <c r="J193" s="77"/>
    </row>
    <row r="194" s="28" customFormat="1" ht="12.75">
      <c r="J194" s="77"/>
    </row>
    <row r="195" s="28" customFormat="1" ht="12.75">
      <c r="J195" s="77"/>
    </row>
    <row r="196" s="28" customFormat="1" ht="12.75">
      <c r="J196" s="77"/>
    </row>
    <row r="197" s="28" customFormat="1" ht="12.75">
      <c r="J197" s="77"/>
    </row>
    <row r="198" s="28" customFormat="1" ht="12.75">
      <c r="J198" s="77"/>
    </row>
    <row r="199" s="28" customFormat="1" ht="12.75">
      <c r="J199" s="77"/>
    </row>
    <row r="200" s="28" customFormat="1" ht="12.75">
      <c r="J200" s="77"/>
    </row>
    <row r="201" s="28" customFormat="1" ht="12.75">
      <c r="J201" s="77"/>
    </row>
    <row r="202" s="28" customFormat="1" ht="12.75">
      <c r="J202" s="77"/>
    </row>
    <row r="203" s="28" customFormat="1" ht="12.75">
      <c r="J203" s="77"/>
    </row>
    <row r="204" s="28" customFormat="1" ht="12.75">
      <c r="J204" s="77"/>
    </row>
    <row r="205" s="28" customFormat="1" ht="12.75">
      <c r="J205" s="77"/>
    </row>
    <row r="206" s="28" customFormat="1" ht="12.75">
      <c r="J206" s="77"/>
    </row>
    <row r="207" s="28" customFormat="1" ht="12.75">
      <c r="J207" s="77"/>
    </row>
    <row r="208" s="28" customFormat="1" ht="12.75">
      <c r="J208" s="77"/>
    </row>
  </sheetData>
  <sheetProtection/>
  <printOptions/>
  <pageMargins left="0.7" right="0.7" top="0.75" bottom="0.75" header="0.3" footer="0.3"/>
  <pageSetup horizontalDpi="600" verticalDpi="600" orientation="landscape" paperSize="9" r:id="rId1"/>
  <headerFooter alignWithMargins="0"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20"/>
  <sheetViews>
    <sheetView zoomScalePageLayoutView="0" workbookViewId="0" topLeftCell="A94">
      <selection activeCell="D8" sqref="D8"/>
    </sheetView>
  </sheetViews>
  <sheetFormatPr defaultColWidth="9.140625" defaultRowHeight="15"/>
  <cols>
    <col min="1" max="1" width="4.00390625" style="0" customWidth="1"/>
    <col min="2" max="2" width="18.00390625" style="0" customWidth="1"/>
    <col min="3" max="3" width="3.421875" style="0" customWidth="1"/>
    <col min="4" max="4" width="16.28125" style="0" customWidth="1"/>
    <col min="5" max="5" width="13.28125" style="0" customWidth="1"/>
    <col min="6" max="6" width="9.28125" style="0" customWidth="1"/>
    <col min="7" max="7" width="12.140625" style="0" customWidth="1"/>
    <col min="8" max="8" width="11.421875" style="0" customWidth="1"/>
    <col min="9" max="9" width="13.00390625" style="0" customWidth="1"/>
    <col min="10" max="10" width="8.8515625" style="0" customWidth="1"/>
    <col min="11" max="11" width="8.8515625" style="98" customWidth="1"/>
    <col min="12" max="12" width="13.7109375" style="110" customWidth="1"/>
  </cols>
  <sheetData>
    <row r="3" ht="15">
      <c r="A3" t="s">
        <v>268</v>
      </c>
    </row>
    <row r="4" ht="15.75" thickBot="1"/>
    <row r="5" spans="1:12" s="28" customFormat="1" ht="21.75" customHeight="1" thickBot="1">
      <c r="A5" s="54" t="s">
        <v>256</v>
      </c>
      <c r="B5" s="57" t="s">
        <v>17</v>
      </c>
      <c r="C5" s="54" t="s">
        <v>254</v>
      </c>
      <c r="D5" s="68" t="s">
        <v>259</v>
      </c>
      <c r="E5" s="68" t="s">
        <v>260</v>
      </c>
      <c r="F5" s="68" t="s">
        <v>261</v>
      </c>
      <c r="G5" s="68" t="s">
        <v>262</v>
      </c>
      <c r="H5" s="68" t="s">
        <v>263</v>
      </c>
      <c r="I5" s="69" t="s">
        <v>264</v>
      </c>
      <c r="J5" s="142"/>
      <c r="K5" s="75" t="s">
        <v>270</v>
      </c>
      <c r="L5" s="111" t="s">
        <v>280</v>
      </c>
    </row>
    <row r="6" spans="1:12" s="28" customFormat="1" ht="12.75">
      <c r="A6" s="90" t="s">
        <v>1</v>
      </c>
      <c r="B6" s="82" t="s">
        <v>29</v>
      </c>
      <c r="C6" s="58" t="s">
        <v>31</v>
      </c>
      <c r="D6" s="32">
        <v>146.05</v>
      </c>
      <c r="E6" s="32"/>
      <c r="F6" s="32">
        <v>143.6</v>
      </c>
      <c r="G6" s="32">
        <v>211.29</v>
      </c>
      <c r="H6" s="32"/>
      <c r="I6" s="33">
        <v>250</v>
      </c>
      <c r="J6" s="33"/>
      <c r="K6" s="99" t="s">
        <v>271</v>
      </c>
      <c r="L6" s="145">
        <v>3204010046</v>
      </c>
    </row>
    <row r="7" spans="1:12" s="28" customFormat="1" ht="12.75">
      <c r="A7" s="86">
        <v>2</v>
      </c>
      <c r="B7" s="83" t="s">
        <v>33</v>
      </c>
      <c r="C7" s="59" t="s">
        <v>32</v>
      </c>
      <c r="D7" s="37">
        <v>440</v>
      </c>
      <c r="E7" s="37"/>
      <c r="F7" s="37"/>
      <c r="G7" s="37">
        <v>202.3</v>
      </c>
      <c r="H7" s="37"/>
      <c r="I7" s="38">
        <v>250</v>
      </c>
      <c r="J7" s="38"/>
      <c r="K7" s="100" t="s">
        <v>271</v>
      </c>
      <c r="L7" s="146">
        <v>3204009691</v>
      </c>
    </row>
    <row r="8" spans="1:12" s="28" customFormat="1" ht="12.75">
      <c r="A8" s="86">
        <f>SUM(A7+1)</f>
        <v>3</v>
      </c>
      <c r="B8" s="83" t="s">
        <v>34</v>
      </c>
      <c r="C8" s="59" t="s">
        <v>35</v>
      </c>
      <c r="D8" s="37"/>
      <c r="E8" s="37"/>
      <c r="F8" s="37"/>
      <c r="G8" s="37">
        <v>189.25</v>
      </c>
      <c r="H8" s="37"/>
      <c r="I8" s="38">
        <v>807</v>
      </c>
      <c r="J8" s="38"/>
      <c r="K8" s="101" t="s">
        <v>272</v>
      </c>
      <c r="L8" s="146">
        <v>3220485615</v>
      </c>
    </row>
    <row r="9" spans="1:12" s="28" customFormat="1" ht="12.75">
      <c r="A9" s="86">
        <f aca="true" t="shared" si="0" ref="A9:A37">SUM(A8+1)</f>
        <v>4</v>
      </c>
      <c r="B9" s="83" t="s">
        <v>36</v>
      </c>
      <c r="C9" s="59" t="s">
        <v>37</v>
      </c>
      <c r="D9" s="37">
        <v>292.11</v>
      </c>
      <c r="E9" s="37"/>
      <c r="F9" s="37"/>
      <c r="G9" s="37">
        <v>211.29</v>
      </c>
      <c r="H9" s="37"/>
      <c r="I9" s="38">
        <v>250</v>
      </c>
      <c r="J9" s="38"/>
      <c r="K9" s="100" t="s">
        <v>271</v>
      </c>
      <c r="L9" s="146">
        <v>3204010214</v>
      </c>
    </row>
    <row r="10" spans="1:12" s="28" customFormat="1" ht="12.75">
      <c r="A10" s="86">
        <f t="shared" si="0"/>
        <v>5</v>
      </c>
      <c r="B10" s="83" t="s">
        <v>38</v>
      </c>
      <c r="C10" s="59" t="s">
        <v>39</v>
      </c>
      <c r="D10" s="37"/>
      <c r="E10" s="37"/>
      <c r="F10" s="37"/>
      <c r="G10" s="37">
        <v>209.5</v>
      </c>
      <c r="H10" s="37"/>
      <c r="I10" s="38"/>
      <c r="J10" s="38"/>
      <c r="K10" s="100" t="s">
        <v>271</v>
      </c>
      <c r="L10" s="146">
        <v>3204010327</v>
      </c>
    </row>
    <row r="11" spans="1:12" s="28" customFormat="1" ht="12.75">
      <c r="A11" s="86">
        <f t="shared" si="0"/>
        <v>6</v>
      </c>
      <c r="B11" s="83" t="s">
        <v>40</v>
      </c>
      <c r="C11" s="59" t="s">
        <v>41</v>
      </c>
      <c r="D11" s="37"/>
      <c r="E11" s="37"/>
      <c r="F11" s="37"/>
      <c r="G11" s="37"/>
      <c r="H11" s="37">
        <v>397.1</v>
      </c>
      <c r="I11" s="38"/>
      <c r="J11" s="38"/>
      <c r="K11" s="100" t="s">
        <v>271</v>
      </c>
      <c r="L11" s="146">
        <v>3204017738</v>
      </c>
    </row>
    <row r="12" spans="1:12" s="28" customFormat="1" ht="12.75">
      <c r="A12" s="86">
        <f t="shared" si="0"/>
        <v>7</v>
      </c>
      <c r="B12" s="83" t="s">
        <v>42</v>
      </c>
      <c r="C12" s="59" t="s">
        <v>43</v>
      </c>
      <c r="D12" s="37">
        <v>136.67</v>
      </c>
      <c r="E12" s="37"/>
      <c r="F12" s="37"/>
      <c r="G12" s="37">
        <v>213.95</v>
      </c>
      <c r="H12" s="37"/>
      <c r="I12" s="38"/>
      <c r="J12" s="38"/>
      <c r="K12" s="102" t="s">
        <v>271</v>
      </c>
      <c r="L12" s="146">
        <v>3204010476</v>
      </c>
    </row>
    <row r="13" spans="1:12" s="28" customFormat="1" ht="12.75">
      <c r="A13" s="86">
        <f t="shared" si="0"/>
        <v>8</v>
      </c>
      <c r="B13" s="83" t="s">
        <v>44</v>
      </c>
      <c r="C13" s="59" t="s">
        <v>45</v>
      </c>
      <c r="D13" s="37">
        <v>122.51</v>
      </c>
      <c r="E13" s="37">
        <v>280.02</v>
      </c>
      <c r="F13" s="37"/>
      <c r="G13" s="37">
        <v>186.68</v>
      </c>
      <c r="H13" s="37"/>
      <c r="I13" s="38">
        <v>250</v>
      </c>
      <c r="J13" s="38"/>
      <c r="K13" s="102" t="s">
        <v>271</v>
      </c>
      <c r="L13" s="146">
        <v>3204010484</v>
      </c>
    </row>
    <row r="14" spans="1:12" s="28" customFormat="1" ht="12.75">
      <c r="A14" s="86">
        <f t="shared" si="0"/>
        <v>9</v>
      </c>
      <c r="B14" s="83" t="s">
        <v>250</v>
      </c>
      <c r="C14" s="59" t="s">
        <v>46</v>
      </c>
      <c r="D14" s="37"/>
      <c r="E14" s="37"/>
      <c r="F14" s="37"/>
      <c r="G14" s="37">
        <v>182.58</v>
      </c>
      <c r="H14" s="37"/>
      <c r="I14" s="38">
        <v>600</v>
      </c>
      <c r="J14" s="38"/>
      <c r="K14" s="102" t="s">
        <v>271</v>
      </c>
      <c r="L14" s="146">
        <v>3204035547</v>
      </c>
    </row>
    <row r="15" spans="1:12" s="28" customFormat="1" ht="12.75">
      <c r="A15" s="86">
        <f t="shared" si="0"/>
        <v>10</v>
      </c>
      <c r="B15" s="83" t="s">
        <v>47</v>
      </c>
      <c r="C15" s="59" t="s">
        <v>48</v>
      </c>
      <c r="D15" s="37">
        <v>251.33</v>
      </c>
      <c r="E15" s="37"/>
      <c r="F15" s="37"/>
      <c r="G15" s="37">
        <v>181.79</v>
      </c>
      <c r="H15" s="37"/>
      <c r="I15" s="38">
        <v>250</v>
      </c>
      <c r="J15" s="38"/>
      <c r="K15" s="102" t="s">
        <v>271</v>
      </c>
      <c r="L15" s="146">
        <v>3204016384</v>
      </c>
    </row>
    <row r="16" spans="1:12" s="28" customFormat="1" ht="12.75">
      <c r="A16" s="86">
        <f t="shared" si="0"/>
        <v>11</v>
      </c>
      <c r="B16" s="83" t="s">
        <v>49</v>
      </c>
      <c r="C16" s="59" t="s">
        <v>50</v>
      </c>
      <c r="D16" s="37"/>
      <c r="E16" s="37"/>
      <c r="F16" s="37"/>
      <c r="G16" s="37">
        <v>29.94</v>
      </c>
      <c r="H16" s="37"/>
      <c r="I16" s="38">
        <v>650</v>
      </c>
      <c r="J16" s="38"/>
      <c r="K16" s="102" t="s">
        <v>271</v>
      </c>
      <c r="L16" s="146">
        <v>3203991914</v>
      </c>
    </row>
    <row r="17" spans="1:12" s="28" customFormat="1" ht="12.75">
      <c r="A17" s="86">
        <f t="shared" si="0"/>
        <v>12</v>
      </c>
      <c r="B17" s="83" t="s">
        <v>284</v>
      </c>
      <c r="C17" s="59" t="s">
        <v>60</v>
      </c>
      <c r="D17" s="37"/>
      <c r="E17" s="37"/>
      <c r="F17" s="37"/>
      <c r="G17" s="37">
        <v>149.67</v>
      </c>
      <c r="H17" s="37"/>
      <c r="I17" s="38">
        <v>250</v>
      </c>
      <c r="J17" s="38"/>
      <c r="K17" s="102" t="s">
        <v>271</v>
      </c>
      <c r="L17" s="146">
        <v>3212241738</v>
      </c>
    </row>
    <row r="18" spans="1:12" s="28" customFormat="1" ht="12.75">
      <c r="A18" s="86">
        <f t="shared" si="0"/>
        <v>13</v>
      </c>
      <c r="B18" s="83" t="s">
        <v>51</v>
      </c>
      <c r="C18" s="59" t="s">
        <v>52</v>
      </c>
      <c r="D18" s="37"/>
      <c r="E18" s="37"/>
      <c r="F18" s="37"/>
      <c r="G18" s="37">
        <v>177.08</v>
      </c>
      <c r="H18" s="37"/>
      <c r="I18" s="38">
        <v>650</v>
      </c>
      <c r="J18" s="38"/>
      <c r="K18" s="102" t="s">
        <v>273</v>
      </c>
      <c r="L18" s="146">
        <v>3226742777</v>
      </c>
    </row>
    <row r="19" spans="1:12" s="28" customFormat="1" ht="12.75">
      <c r="A19" s="86">
        <f t="shared" si="0"/>
        <v>14</v>
      </c>
      <c r="B19" s="83" t="s">
        <v>251</v>
      </c>
      <c r="C19" s="59" t="s">
        <v>53</v>
      </c>
      <c r="D19" s="37"/>
      <c r="E19" s="37"/>
      <c r="F19" s="37"/>
      <c r="G19" s="37">
        <v>169.62</v>
      </c>
      <c r="H19" s="37"/>
      <c r="I19" s="38">
        <v>650</v>
      </c>
      <c r="J19" s="38"/>
      <c r="K19" s="102" t="s">
        <v>274</v>
      </c>
      <c r="L19" s="146">
        <v>3201084947</v>
      </c>
    </row>
    <row r="20" spans="1:12" s="28" customFormat="1" ht="12.75">
      <c r="A20" s="86">
        <f t="shared" si="0"/>
        <v>15</v>
      </c>
      <c r="B20" s="83" t="s">
        <v>54</v>
      </c>
      <c r="C20" s="59" t="s">
        <v>55</v>
      </c>
      <c r="D20" s="37">
        <v>111.63</v>
      </c>
      <c r="E20" s="37"/>
      <c r="F20" s="37"/>
      <c r="G20" s="37">
        <v>174.77</v>
      </c>
      <c r="H20" s="37"/>
      <c r="I20" s="38">
        <v>600</v>
      </c>
      <c r="J20" s="38"/>
      <c r="K20" s="102" t="s">
        <v>271</v>
      </c>
      <c r="L20" s="146">
        <v>3207503041</v>
      </c>
    </row>
    <row r="21" spans="1:12" s="28" customFormat="1" ht="12.75">
      <c r="A21" s="86">
        <f t="shared" si="0"/>
        <v>16</v>
      </c>
      <c r="B21" s="83" t="s">
        <v>56</v>
      </c>
      <c r="C21" s="59" t="s">
        <v>57</v>
      </c>
      <c r="D21" s="37"/>
      <c r="E21" s="37"/>
      <c r="F21" s="37"/>
      <c r="G21" s="37"/>
      <c r="H21" s="37">
        <v>461.47</v>
      </c>
      <c r="I21" s="38"/>
      <c r="J21" s="38"/>
      <c r="K21" s="102" t="s">
        <v>271</v>
      </c>
      <c r="L21" s="146">
        <v>3204074301</v>
      </c>
    </row>
    <row r="22" spans="1:12" s="28" customFormat="1" ht="12.75">
      <c r="A22" s="86">
        <f t="shared" si="0"/>
        <v>17</v>
      </c>
      <c r="B22" s="83" t="s">
        <v>102</v>
      </c>
      <c r="C22" s="59" t="s">
        <v>103</v>
      </c>
      <c r="D22" s="37">
        <v>96.28</v>
      </c>
      <c r="E22" s="37"/>
      <c r="F22" s="37"/>
      <c r="G22" s="37">
        <v>171.93</v>
      </c>
      <c r="H22" s="37"/>
      <c r="I22" s="38">
        <v>250</v>
      </c>
      <c r="J22" s="38"/>
      <c r="K22" s="102" t="s">
        <v>275</v>
      </c>
      <c r="L22" s="146">
        <v>3223516627</v>
      </c>
    </row>
    <row r="23" spans="1:12" s="28" customFormat="1" ht="12.75">
      <c r="A23" s="86">
        <f t="shared" si="0"/>
        <v>18</v>
      </c>
      <c r="B23" s="83" t="s">
        <v>252</v>
      </c>
      <c r="C23" s="59" t="s">
        <v>62</v>
      </c>
      <c r="D23" s="37"/>
      <c r="E23" s="37"/>
      <c r="F23" s="37"/>
      <c r="G23" s="37"/>
      <c r="H23" s="37">
        <v>550.08</v>
      </c>
      <c r="I23" s="38">
        <v>810</v>
      </c>
      <c r="J23" s="38"/>
      <c r="K23" s="102" t="s">
        <v>271</v>
      </c>
      <c r="L23" s="146">
        <v>3209826266</v>
      </c>
    </row>
    <row r="24" spans="1:12" s="28" customFormat="1" ht="12.75">
      <c r="A24" s="86">
        <f t="shared" si="0"/>
        <v>19</v>
      </c>
      <c r="B24" s="83" t="s">
        <v>64</v>
      </c>
      <c r="C24" s="59" t="s">
        <v>65</v>
      </c>
      <c r="D24" s="37"/>
      <c r="E24" s="37"/>
      <c r="F24" s="37"/>
      <c r="G24" s="37">
        <v>167.7</v>
      </c>
      <c r="H24" s="37"/>
      <c r="I24" s="38">
        <v>600</v>
      </c>
      <c r="J24" s="38"/>
      <c r="K24" s="102" t="s">
        <v>271</v>
      </c>
      <c r="L24" s="146">
        <v>3206487143</v>
      </c>
    </row>
    <row r="25" spans="1:12" s="28" customFormat="1" ht="12.75">
      <c r="A25" s="86">
        <f t="shared" si="0"/>
        <v>20</v>
      </c>
      <c r="B25" s="83" t="s">
        <v>67</v>
      </c>
      <c r="C25" s="59" t="s">
        <v>68</v>
      </c>
      <c r="D25" s="37"/>
      <c r="E25" s="37"/>
      <c r="F25" s="37"/>
      <c r="G25" s="37">
        <v>167.7</v>
      </c>
      <c r="H25" s="37">
        <v>364.78</v>
      </c>
      <c r="I25" s="38">
        <v>830</v>
      </c>
      <c r="J25" s="38"/>
      <c r="K25" s="102" t="s">
        <v>276</v>
      </c>
      <c r="L25" s="146">
        <v>3251666018</v>
      </c>
    </row>
    <row r="26" spans="1:12" s="28" customFormat="1" ht="12.75">
      <c r="A26" s="86">
        <f t="shared" si="0"/>
        <v>21</v>
      </c>
      <c r="B26" s="83" t="s">
        <v>70</v>
      </c>
      <c r="C26" s="59" t="s">
        <v>71</v>
      </c>
      <c r="D26" s="37"/>
      <c r="E26" s="37"/>
      <c r="F26" s="37"/>
      <c r="G26" s="37">
        <v>168.61</v>
      </c>
      <c r="H26" s="37"/>
      <c r="I26" s="38">
        <v>650</v>
      </c>
      <c r="J26" s="38"/>
      <c r="K26" s="102" t="s">
        <v>271</v>
      </c>
      <c r="L26" s="146">
        <v>3209339880</v>
      </c>
    </row>
    <row r="27" spans="1:12" s="28" customFormat="1" ht="12.75">
      <c r="A27" s="86">
        <f t="shared" si="0"/>
        <v>22</v>
      </c>
      <c r="B27" s="83" t="s">
        <v>73</v>
      </c>
      <c r="C27" s="59" t="s">
        <v>74</v>
      </c>
      <c r="D27" s="37">
        <v>109.08</v>
      </c>
      <c r="E27" s="37"/>
      <c r="F27" s="37"/>
      <c r="G27" s="37">
        <v>211.29</v>
      </c>
      <c r="H27" s="37"/>
      <c r="I27" s="38">
        <v>768</v>
      </c>
      <c r="J27" s="38"/>
      <c r="K27" s="102" t="s">
        <v>271</v>
      </c>
      <c r="L27" s="146">
        <v>3204051514</v>
      </c>
    </row>
    <row r="28" spans="1:12" s="28" customFormat="1" ht="12.75">
      <c r="A28" s="86">
        <f t="shared" si="0"/>
        <v>23</v>
      </c>
      <c r="B28" s="83" t="s">
        <v>239</v>
      </c>
      <c r="C28" s="59" t="s">
        <v>76</v>
      </c>
      <c r="D28" s="37">
        <v>356.64</v>
      </c>
      <c r="E28" s="37"/>
      <c r="F28" s="37"/>
      <c r="G28" s="37">
        <v>201.78</v>
      </c>
      <c r="H28" s="37"/>
      <c r="I28" s="38">
        <v>250</v>
      </c>
      <c r="J28" s="38"/>
      <c r="K28" s="102" t="s">
        <v>271</v>
      </c>
      <c r="L28" s="146">
        <v>3204010298</v>
      </c>
    </row>
    <row r="29" spans="1:12" s="28" customFormat="1" ht="12.75">
      <c r="A29" s="86">
        <f t="shared" si="0"/>
        <v>24</v>
      </c>
      <c r="B29" s="83" t="s">
        <v>78</v>
      </c>
      <c r="C29" s="59" t="s">
        <v>79</v>
      </c>
      <c r="D29" s="37">
        <v>204.49</v>
      </c>
      <c r="E29" s="37"/>
      <c r="F29" s="37"/>
      <c r="G29" s="37">
        <v>216.4</v>
      </c>
      <c r="H29" s="37"/>
      <c r="I29" s="38"/>
      <c r="J29" s="38"/>
      <c r="K29" s="102" t="s">
        <v>271</v>
      </c>
      <c r="L29" s="146">
        <v>3214138674</v>
      </c>
    </row>
    <row r="30" spans="1:12" s="28" customFormat="1" ht="12.75">
      <c r="A30" s="86">
        <f t="shared" si="0"/>
        <v>25</v>
      </c>
      <c r="B30" s="83" t="s">
        <v>81</v>
      </c>
      <c r="C30" s="59" t="s">
        <v>82</v>
      </c>
      <c r="D30" s="37"/>
      <c r="E30" s="37"/>
      <c r="F30" s="37"/>
      <c r="G30" s="37">
        <v>199.99</v>
      </c>
      <c r="H30" s="37"/>
      <c r="I30" s="38"/>
      <c r="J30" s="38"/>
      <c r="K30" s="102" t="s">
        <v>274</v>
      </c>
      <c r="L30" s="146">
        <v>3201085021</v>
      </c>
    </row>
    <row r="31" spans="1:12" s="28" customFormat="1" ht="12.75">
      <c r="A31" s="86">
        <f t="shared" si="0"/>
        <v>26</v>
      </c>
      <c r="B31" s="83" t="s">
        <v>84</v>
      </c>
      <c r="C31" s="59" t="s">
        <v>85</v>
      </c>
      <c r="D31" s="37"/>
      <c r="E31" s="37"/>
      <c r="F31" s="37"/>
      <c r="G31" s="37">
        <v>166.96</v>
      </c>
      <c r="H31" s="37"/>
      <c r="I31" s="38">
        <v>250</v>
      </c>
      <c r="J31" s="38"/>
      <c r="K31" s="102" t="s">
        <v>276</v>
      </c>
      <c r="L31" s="146">
        <v>3251589993</v>
      </c>
    </row>
    <row r="32" spans="1:12" s="28" customFormat="1" ht="12.75">
      <c r="A32" s="86">
        <f t="shared" si="0"/>
        <v>27</v>
      </c>
      <c r="B32" s="83" t="s">
        <v>87</v>
      </c>
      <c r="C32" s="59" t="s">
        <v>88</v>
      </c>
      <c r="D32" s="37">
        <v>58.91</v>
      </c>
      <c r="E32" s="37"/>
      <c r="F32" s="37"/>
      <c r="G32" s="37">
        <v>210.37</v>
      </c>
      <c r="H32" s="37"/>
      <c r="I32" s="38"/>
      <c r="J32" s="38"/>
      <c r="K32" s="102" t="s">
        <v>274</v>
      </c>
      <c r="L32" s="146">
        <v>3201084963</v>
      </c>
    </row>
    <row r="33" spans="1:12" s="28" customFormat="1" ht="12.75">
      <c r="A33" s="86">
        <f t="shared" si="0"/>
        <v>28</v>
      </c>
      <c r="B33" s="83" t="s">
        <v>90</v>
      </c>
      <c r="C33" s="59" t="s">
        <v>91</v>
      </c>
      <c r="D33" s="37">
        <v>328.14</v>
      </c>
      <c r="E33" s="37">
        <v>319.62</v>
      </c>
      <c r="F33" s="37"/>
      <c r="G33" s="37">
        <v>199.99</v>
      </c>
      <c r="H33" s="37"/>
      <c r="I33" s="38"/>
      <c r="J33" s="38"/>
      <c r="K33" s="102" t="s">
        <v>271</v>
      </c>
      <c r="L33" s="146">
        <v>3207034652</v>
      </c>
    </row>
    <row r="34" spans="1:12" s="28" customFormat="1" ht="12.75">
      <c r="A34" s="86">
        <f t="shared" si="0"/>
        <v>29</v>
      </c>
      <c r="B34" s="83" t="s">
        <v>94</v>
      </c>
      <c r="C34" s="59" t="s">
        <v>95</v>
      </c>
      <c r="D34" s="37">
        <v>221.03</v>
      </c>
      <c r="E34" s="37"/>
      <c r="F34" s="37"/>
      <c r="G34" s="37">
        <v>210.51</v>
      </c>
      <c r="H34" s="37"/>
      <c r="I34" s="38">
        <v>250</v>
      </c>
      <c r="J34" s="38"/>
      <c r="K34" s="102" t="s">
        <v>271</v>
      </c>
      <c r="L34" s="146">
        <v>3203938809</v>
      </c>
    </row>
    <row r="35" spans="1:12" s="28" customFormat="1" ht="12.75">
      <c r="A35" s="86">
        <f t="shared" si="0"/>
        <v>30</v>
      </c>
      <c r="B35" s="83" t="s">
        <v>253</v>
      </c>
      <c r="C35" s="59" t="s">
        <v>97</v>
      </c>
      <c r="D35" s="37"/>
      <c r="E35" s="37"/>
      <c r="F35" s="37"/>
      <c r="G35" s="37">
        <v>198.99</v>
      </c>
      <c r="H35" s="37"/>
      <c r="I35" s="38"/>
      <c r="J35" s="38"/>
      <c r="K35" s="102" t="s">
        <v>274</v>
      </c>
      <c r="L35" s="146">
        <v>3201085064</v>
      </c>
    </row>
    <row r="36" spans="1:12" s="28" customFormat="1" ht="12.75">
      <c r="A36" s="86">
        <f t="shared" si="0"/>
        <v>31</v>
      </c>
      <c r="B36" s="88" t="s">
        <v>99</v>
      </c>
      <c r="C36" s="60" t="s">
        <v>100</v>
      </c>
      <c r="D36" s="43">
        <v>217.61</v>
      </c>
      <c r="E36" s="43"/>
      <c r="F36" s="43"/>
      <c r="G36" s="43">
        <v>171.93</v>
      </c>
      <c r="H36" s="43"/>
      <c r="I36" s="44">
        <v>250</v>
      </c>
      <c r="J36" s="44"/>
      <c r="K36" s="103" t="s">
        <v>275</v>
      </c>
      <c r="L36" s="147">
        <v>3238905542</v>
      </c>
    </row>
    <row r="37" spans="1:12" s="28" customFormat="1" ht="13.5" thickBot="1">
      <c r="A37" s="96">
        <f t="shared" si="0"/>
        <v>32</v>
      </c>
      <c r="B37" s="135" t="s">
        <v>105</v>
      </c>
      <c r="C37" s="136" t="s">
        <v>106</v>
      </c>
      <c r="D37" s="137"/>
      <c r="E37" s="137"/>
      <c r="F37" s="137"/>
      <c r="G37" s="137">
        <v>166.04</v>
      </c>
      <c r="H37" s="137"/>
      <c r="I37" s="138">
        <v>867</v>
      </c>
      <c r="J37" s="143"/>
      <c r="K37" s="139" t="s">
        <v>275</v>
      </c>
      <c r="L37" s="141">
        <v>3223350187</v>
      </c>
    </row>
    <row r="38" spans="1:12" s="28" customFormat="1" ht="12.75">
      <c r="A38" s="70"/>
      <c r="B38" s="71"/>
      <c r="C38" s="72"/>
      <c r="D38" s="73"/>
      <c r="E38" s="73"/>
      <c r="F38" s="73"/>
      <c r="G38" s="73"/>
      <c r="H38" s="73"/>
      <c r="I38" s="73"/>
      <c r="J38" s="73"/>
      <c r="K38" s="104"/>
      <c r="L38" s="115"/>
    </row>
    <row r="39" spans="1:12" s="28" customFormat="1" ht="12.75">
      <c r="A39" s="70"/>
      <c r="B39" s="71"/>
      <c r="C39" s="72"/>
      <c r="D39" s="73"/>
      <c r="E39" s="73"/>
      <c r="F39" s="73"/>
      <c r="G39" s="73"/>
      <c r="H39" s="73"/>
      <c r="I39" s="73"/>
      <c r="J39" s="73"/>
      <c r="K39" s="104"/>
      <c r="L39" s="115"/>
    </row>
    <row r="40" spans="1:12" s="28" customFormat="1" ht="12.75">
      <c r="A40" s="70"/>
      <c r="B40" s="71"/>
      <c r="C40" s="72"/>
      <c r="D40" s="73"/>
      <c r="E40" s="73"/>
      <c r="F40" s="73"/>
      <c r="G40" s="73"/>
      <c r="H40" s="73"/>
      <c r="I40" s="73"/>
      <c r="J40" s="73"/>
      <c r="K40" s="104"/>
      <c r="L40" s="115"/>
    </row>
    <row r="41" spans="1:12" s="28" customFormat="1" ht="12.75">
      <c r="A41" s="70"/>
      <c r="B41" s="71"/>
      <c r="C41" s="72"/>
      <c r="D41" s="73"/>
      <c r="E41" s="73"/>
      <c r="F41" s="73"/>
      <c r="G41" s="73"/>
      <c r="H41" s="73"/>
      <c r="I41" s="73"/>
      <c r="J41" s="73"/>
      <c r="K41" s="104"/>
      <c r="L41" s="115"/>
    </row>
    <row r="42" spans="1:12" s="28" customFormat="1" ht="12.75">
      <c r="A42" s="70"/>
      <c r="B42" s="71"/>
      <c r="C42" s="72"/>
      <c r="D42" s="73"/>
      <c r="E42" s="73"/>
      <c r="F42" s="73"/>
      <c r="G42" s="73"/>
      <c r="H42" s="73"/>
      <c r="I42" s="73"/>
      <c r="J42" s="73"/>
      <c r="K42" s="104"/>
      <c r="L42" s="115"/>
    </row>
    <row r="43" spans="1:12" s="28" customFormat="1" ht="12.75">
      <c r="A43" s="70"/>
      <c r="B43" s="71"/>
      <c r="C43" s="72"/>
      <c r="D43" s="73"/>
      <c r="E43" s="73"/>
      <c r="F43" s="73"/>
      <c r="G43" s="73"/>
      <c r="H43" s="73"/>
      <c r="I43" s="73"/>
      <c r="J43" s="73"/>
      <c r="K43" s="104"/>
      <c r="L43" s="115"/>
    </row>
    <row r="44" spans="1:12" s="28" customFormat="1" ht="12.75">
      <c r="A44" s="70"/>
      <c r="B44" s="71"/>
      <c r="C44" s="72"/>
      <c r="D44" s="73"/>
      <c r="E44" s="73"/>
      <c r="F44" s="73"/>
      <c r="G44" s="73"/>
      <c r="H44" s="73"/>
      <c r="I44" s="73"/>
      <c r="J44" s="73"/>
      <c r="K44" s="104"/>
      <c r="L44" s="115"/>
    </row>
    <row r="45" spans="1:12" s="28" customFormat="1" ht="12.75">
      <c r="A45" s="70"/>
      <c r="B45" s="71"/>
      <c r="C45" s="72"/>
      <c r="D45" s="73"/>
      <c r="E45" s="73"/>
      <c r="F45" s="73"/>
      <c r="G45" s="73"/>
      <c r="H45" s="73"/>
      <c r="I45" s="73"/>
      <c r="J45" s="73"/>
      <c r="K45" s="104"/>
      <c r="L45" s="115"/>
    </row>
    <row r="46" spans="1:12" s="28" customFormat="1" ht="12.75">
      <c r="A46" s="70"/>
      <c r="B46" s="71"/>
      <c r="C46" s="72"/>
      <c r="D46" s="73"/>
      <c r="E46" s="73"/>
      <c r="F46" s="73"/>
      <c r="G46" s="73"/>
      <c r="H46" s="73"/>
      <c r="I46" s="73"/>
      <c r="J46" s="73"/>
      <c r="K46" s="104"/>
      <c r="L46" s="115"/>
    </row>
    <row r="47" spans="1:12" s="28" customFormat="1" ht="12.75">
      <c r="A47" s="70"/>
      <c r="B47" s="71"/>
      <c r="C47" s="72"/>
      <c r="D47" s="73"/>
      <c r="E47" s="73"/>
      <c r="F47" s="73"/>
      <c r="G47" s="73"/>
      <c r="H47" s="73"/>
      <c r="I47" s="73"/>
      <c r="J47" s="73"/>
      <c r="K47" s="104"/>
      <c r="L47" s="115"/>
    </row>
    <row r="48" spans="1:12" s="28" customFormat="1" ht="12.75">
      <c r="A48" s="70"/>
      <c r="B48" s="71"/>
      <c r="C48" s="72"/>
      <c r="D48" s="73"/>
      <c r="E48" s="73"/>
      <c r="F48" s="73"/>
      <c r="G48" s="73"/>
      <c r="H48" s="73"/>
      <c r="I48" s="73"/>
      <c r="J48" s="73"/>
      <c r="K48" s="104"/>
      <c r="L48" s="115"/>
    </row>
    <row r="49" spans="11:12" s="28" customFormat="1" ht="13.5" thickBot="1">
      <c r="K49" s="105"/>
      <c r="L49" s="116"/>
    </row>
    <row r="50" spans="1:12" s="28" customFormat="1" ht="21.75" customHeight="1" thickBot="1">
      <c r="A50" s="95" t="s">
        <v>256</v>
      </c>
      <c r="B50" s="57" t="s">
        <v>17</v>
      </c>
      <c r="C50" s="54" t="s">
        <v>254</v>
      </c>
      <c r="D50" s="68" t="s">
        <v>259</v>
      </c>
      <c r="E50" s="68" t="s">
        <v>260</v>
      </c>
      <c r="F50" s="68" t="s">
        <v>261</v>
      </c>
      <c r="G50" s="68" t="s">
        <v>262</v>
      </c>
      <c r="H50" s="68" t="s">
        <v>263</v>
      </c>
      <c r="I50" s="69" t="s">
        <v>264</v>
      </c>
      <c r="J50" s="142"/>
      <c r="K50" s="78" t="s">
        <v>270</v>
      </c>
      <c r="L50" s="111" t="s">
        <v>280</v>
      </c>
    </row>
    <row r="51" spans="1:12" s="28" customFormat="1" ht="12.75">
      <c r="A51" s="90">
        <v>33</v>
      </c>
      <c r="B51" s="71" t="s">
        <v>108</v>
      </c>
      <c r="C51" s="150" t="s">
        <v>109</v>
      </c>
      <c r="D51" s="148"/>
      <c r="E51" s="148">
        <v>254.1</v>
      </c>
      <c r="F51" s="148"/>
      <c r="G51" s="148">
        <v>169.4</v>
      </c>
      <c r="H51" s="148"/>
      <c r="I51" s="149">
        <v>987</v>
      </c>
      <c r="J51" s="73"/>
      <c r="K51" s="106" t="s">
        <v>274</v>
      </c>
      <c r="L51" s="145">
        <v>3201113074</v>
      </c>
    </row>
    <row r="52" spans="1:12" s="28" customFormat="1" ht="12.75">
      <c r="A52" s="86">
        <f>SUM(A51+1)</f>
        <v>34</v>
      </c>
      <c r="B52" s="129" t="s">
        <v>111</v>
      </c>
      <c r="C52" s="59" t="s">
        <v>112</v>
      </c>
      <c r="D52" s="37">
        <v>193.9</v>
      </c>
      <c r="E52" s="37"/>
      <c r="F52" s="37"/>
      <c r="G52" s="37">
        <v>199.99</v>
      </c>
      <c r="H52" s="37"/>
      <c r="I52" s="37">
        <v>250</v>
      </c>
      <c r="J52" s="37"/>
      <c r="K52" s="102" t="s">
        <v>271</v>
      </c>
      <c r="L52" s="146">
        <v>3204010417</v>
      </c>
    </row>
    <row r="53" spans="1:12" s="28" customFormat="1" ht="12.75">
      <c r="A53" s="86">
        <f aca="true" t="shared" si="1" ref="A53:A85">SUM(A52+1)</f>
        <v>35</v>
      </c>
      <c r="B53" s="83" t="s">
        <v>114</v>
      </c>
      <c r="C53" s="59" t="s">
        <v>115</v>
      </c>
      <c r="D53" s="37">
        <v>181.75</v>
      </c>
      <c r="E53" s="37"/>
      <c r="F53" s="37">
        <v>135.76</v>
      </c>
      <c r="G53" s="37">
        <v>199.73</v>
      </c>
      <c r="H53" s="37"/>
      <c r="I53" s="38"/>
      <c r="J53" s="38"/>
      <c r="K53" s="102" t="s">
        <v>271</v>
      </c>
      <c r="L53" s="146">
        <v>3204021743</v>
      </c>
    </row>
    <row r="54" spans="1:12" s="28" customFormat="1" ht="12.75">
      <c r="A54" s="86">
        <f t="shared" si="1"/>
        <v>36</v>
      </c>
      <c r="B54" s="83" t="s">
        <v>117</v>
      </c>
      <c r="C54" s="59" t="s">
        <v>118</v>
      </c>
      <c r="D54" s="37">
        <v>199.02</v>
      </c>
      <c r="E54" s="37"/>
      <c r="F54" s="37">
        <v>690.13</v>
      </c>
      <c r="G54" s="37">
        <v>203.09</v>
      </c>
      <c r="H54" s="37"/>
      <c r="I54" s="38">
        <v>1316</v>
      </c>
      <c r="J54" s="38"/>
      <c r="K54" s="102" t="s">
        <v>274</v>
      </c>
      <c r="L54" s="146">
        <v>3201085072</v>
      </c>
    </row>
    <row r="55" spans="1:12" s="28" customFormat="1" ht="12.75">
      <c r="A55" s="86">
        <f t="shared" si="1"/>
        <v>37</v>
      </c>
      <c r="B55" s="83" t="s">
        <v>120</v>
      </c>
      <c r="C55" s="59" t="s">
        <v>121</v>
      </c>
      <c r="D55" s="37">
        <v>97.37</v>
      </c>
      <c r="E55" s="37"/>
      <c r="F55" s="37"/>
      <c r="G55" s="37">
        <v>168.61</v>
      </c>
      <c r="H55" s="37"/>
      <c r="I55" s="38">
        <v>250</v>
      </c>
      <c r="J55" s="38"/>
      <c r="K55" s="102" t="s">
        <v>271</v>
      </c>
      <c r="L55" s="146">
        <v>3201227584</v>
      </c>
    </row>
    <row r="56" spans="1:12" s="28" customFormat="1" ht="12.75">
      <c r="A56" s="86">
        <f t="shared" si="1"/>
        <v>38</v>
      </c>
      <c r="B56" s="83" t="s">
        <v>123</v>
      </c>
      <c r="C56" s="59" t="s">
        <v>124</v>
      </c>
      <c r="D56" s="37">
        <v>57.04</v>
      </c>
      <c r="E56" s="37"/>
      <c r="F56" s="37"/>
      <c r="G56" s="37">
        <v>118.83</v>
      </c>
      <c r="H56" s="37"/>
      <c r="I56" s="38"/>
      <c r="J56" s="38"/>
      <c r="K56" s="102" t="s">
        <v>271</v>
      </c>
      <c r="L56" s="146">
        <v>3213573925</v>
      </c>
    </row>
    <row r="57" spans="1:12" s="28" customFormat="1" ht="12.75">
      <c r="A57" s="86">
        <f t="shared" si="1"/>
        <v>39</v>
      </c>
      <c r="B57" s="83" t="s">
        <v>126</v>
      </c>
      <c r="C57" s="59" t="s">
        <v>127</v>
      </c>
      <c r="D57" s="37">
        <v>293.31</v>
      </c>
      <c r="E57" s="37">
        <v>157.13</v>
      </c>
      <c r="F57" s="37"/>
      <c r="G57" s="37">
        <v>209.5</v>
      </c>
      <c r="H57" s="37"/>
      <c r="I57" s="38">
        <v>250</v>
      </c>
      <c r="J57" s="38"/>
      <c r="K57" s="102" t="s">
        <v>271</v>
      </c>
      <c r="L57" s="146">
        <v>3206953335</v>
      </c>
    </row>
    <row r="58" spans="1:12" s="28" customFormat="1" ht="12.75">
      <c r="A58" s="86">
        <f t="shared" si="1"/>
        <v>40</v>
      </c>
      <c r="B58" s="83" t="s">
        <v>129</v>
      </c>
      <c r="C58" s="59" t="s">
        <v>130</v>
      </c>
      <c r="D58" s="37">
        <v>291.7</v>
      </c>
      <c r="E58" s="37">
        <v>422.35</v>
      </c>
      <c r="F58" s="37"/>
      <c r="G58" s="37">
        <v>225.25</v>
      </c>
      <c r="H58" s="37"/>
      <c r="I58" s="38">
        <v>250</v>
      </c>
      <c r="J58" s="38"/>
      <c r="K58" s="102" t="s">
        <v>274</v>
      </c>
      <c r="L58" s="146">
        <v>3201085013</v>
      </c>
    </row>
    <row r="59" spans="1:12" s="28" customFormat="1" ht="12.75">
      <c r="A59" s="86">
        <f t="shared" si="1"/>
        <v>41</v>
      </c>
      <c r="B59" s="83" t="s">
        <v>132</v>
      </c>
      <c r="C59" s="59" t="s">
        <v>133</v>
      </c>
      <c r="D59" s="37"/>
      <c r="E59" s="37"/>
      <c r="F59" s="37"/>
      <c r="G59" s="37">
        <v>199.99</v>
      </c>
      <c r="H59" s="37"/>
      <c r="I59" s="38">
        <v>810</v>
      </c>
      <c r="J59" s="38"/>
      <c r="K59" s="102" t="s">
        <v>271</v>
      </c>
      <c r="L59" s="146">
        <v>3204010409</v>
      </c>
    </row>
    <row r="60" spans="1:12" s="28" customFormat="1" ht="12.75">
      <c r="A60" s="86">
        <f t="shared" si="1"/>
        <v>42</v>
      </c>
      <c r="B60" s="83" t="s">
        <v>135</v>
      </c>
      <c r="C60" s="59" t="s">
        <v>136</v>
      </c>
      <c r="D60" s="37"/>
      <c r="E60" s="37"/>
      <c r="F60" s="37"/>
      <c r="G60" s="37">
        <v>180.4</v>
      </c>
      <c r="H60" s="37"/>
      <c r="I60" s="38">
        <v>250</v>
      </c>
      <c r="J60" s="38"/>
      <c r="K60" s="102" t="s">
        <v>271</v>
      </c>
      <c r="L60" s="146">
        <v>3206725631</v>
      </c>
    </row>
    <row r="61" spans="1:12" s="28" customFormat="1" ht="12.75">
      <c r="A61" s="86">
        <f t="shared" si="1"/>
        <v>43</v>
      </c>
      <c r="B61" s="83" t="s">
        <v>138</v>
      </c>
      <c r="C61" s="59" t="s">
        <v>139</v>
      </c>
      <c r="D61" s="37"/>
      <c r="E61" s="37"/>
      <c r="F61" s="37"/>
      <c r="G61" s="37">
        <v>197.33</v>
      </c>
      <c r="H61" s="37"/>
      <c r="I61" s="38">
        <v>250</v>
      </c>
      <c r="J61" s="38"/>
      <c r="K61" s="102" t="s">
        <v>271</v>
      </c>
      <c r="L61" s="146">
        <v>3204015058</v>
      </c>
    </row>
    <row r="62" spans="1:12" s="28" customFormat="1" ht="12.75">
      <c r="A62" s="86">
        <f t="shared" si="1"/>
        <v>44</v>
      </c>
      <c r="B62" s="83" t="s">
        <v>141</v>
      </c>
      <c r="C62" s="59" t="s">
        <v>142</v>
      </c>
      <c r="D62" s="37"/>
      <c r="E62" s="37"/>
      <c r="F62" s="37"/>
      <c r="G62" s="37">
        <v>172.72</v>
      </c>
      <c r="H62" s="37"/>
      <c r="I62" s="38">
        <v>830</v>
      </c>
      <c r="J62" s="38"/>
      <c r="K62" s="102" t="s">
        <v>271</v>
      </c>
      <c r="L62" s="146">
        <v>3202927758</v>
      </c>
    </row>
    <row r="63" spans="1:12" s="28" customFormat="1" ht="12.75">
      <c r="A63" s="86">
        <f t="shared" si="1"/>
        <v>45</v>
      </c>
      <c r="B63" s="83" t="s">
        <v>145</v>
      </c>
      <c r="C63" s="59" t="s">
        <v>146</v>
      </c>
      <c r="D63" s="37"/>
      <c r="E63" s="37"/>
      <c r="F63" s="37"/>
      <c r="G63" s="37">
        <v>199.12</v>
      </c>
      <c r="H63" s="37"/>
      <c r="I63" s="38">
        <v>250</v>
      </c>
      <c r="J63" s="38"/>
      <c r="K63" s="102" t="s">
        <v>271</v>
      </c>
      <c r="L63" s="146">
        <v>3203992312</v>
      </c>
    </row>
    <row r="64" spans="1:12" s="28" customFormat="1" ht="12.75">
      <c r="A64" s="86">
        <f t="shared" si="1"/>
        <v>46</v>
      </c>
      <c r="B64" s="83" t="s">
        <v>148</v>
      </c>
      <c r="C64" s="59" t="s">
        <v>149</v>
      </c>
      <c r="D64" s="37">
        <v>44.91</v>
      </c>
      <c r="E64" s="37"/>
      <c r="F64" s="37"/>
      <c r="G64" s="37">
        <v>171.06</v>
      </c>
      <c r="H64" s="37"/>
      <c r="I64" s="38">
        <v>877</v>
      </c>
      <c r="J64" s="38"/>
      <c r="K64" s="102" t="s">
        <v>277</v>
      </c>
      <c r="L64" s="146">
        <v>3206045226</v>
      </c>
    </row>
    <row r="65" spans="1:12" s="28" customFormat="1" ht="12.75">
      <c r="A65" s="86">
        <f t="shared" si="1"/>
        <v>47</v>
      </c>
      <c r="B65" s="83" t="s">
        <v>151</v>
      </c>
      <c r="C65" s="59" t="s">
        <v>152</v>
      </c>
      <c r="D65" s="37"/>
      <c r="E65" s="37"/>
      <c r="F65" s="37"/>
      <c r="G65" s="37">
        <v>170.27</v>
      </c>
      <c r="H65" s="37"/>
      <c r="I65" s="38">
        <v>600</v>
      </c>
      <c r="J65" s="38"/>
      <c r="K65" s="102" t="s">
        <v>273</v>
      </c>
      <c r="L65" s="146">
        <v>3234063231</v>
      </c>
    </row>
    <row r="66" spans="1:12" s="28" customFormat="1" ht="12.75">
      <c r="A66" s="86">
        <f t="shared" si="1"/>
        <v>48</v>
      </c>
      <c r="B66" s="83" t="s">
        <v>154</v>
      </c>
      <c r="C66" s="59" t="s">
        <v>155</v>
      </c>
      <c r="D66" s="37"/>
      <c r="E66" s="37"/>
      <c r="F66" s="37"/>
      <c r="G66" s="37">
        <v>172.72</v>
      </c>
      <c r="H66" s="37"/>
      <c r="I66" s="38">
        <v>810</v>
      </c>
      <c r="J66" s="38"/>
      <c r="K66" s="102" t="s">
        <v>271</v>
      </c>
      <c r="L66" s="146">
        <v>3204198345</v>
      </c>
    </row>
    <row r="67" spans="1:12" s="28" customFormat="1" ht="12.75">
      <c r="A67" s="86">
        <f t="shared" si="1"/>
        <v>49</v>
      </c>
      <c r="B67" s="83" t="s">
        <v>269</v>
      </c>
      <c r="C67" s="59" t="s">
        <v>281</v>
      </c>
      <c r="D67" s="37"/>
      <c r="E67" s="37"/>
      <c r="F67" s="37"/>
      <c r="G67" s="37"/>
      <c r="H67" s="37"/>
      <c r="I67" s="38"/>
      <c r="J67" s="38"/>
      <c r="K67" s="102" t="s">
        <v>271</v>
      </c>
      <c r="L67" s="146">
        <v>3204133135</v>
      </c>
    </row>
    <row r="68" spans="1:12" s="28" customFormat="1" ht="12.75">
      <c r="A68" s="86">
        <f t="shared" si="1"/>
        <v>50</v>
      </c>
      <c r="B68" s="83" t="s">
        <v>158</v>
      </c>
      <c r="C68" s="59" t="s">
        <v>159</v>
      </c>
      <c r="D68" s="37"/>
      <c r="E68" s="37"/>
      <c r="F68" s="37"/>
      <c r="G68" s="37">
        <v>197.33</v>
      </c>
      <c r="H68" s="37"/>
      <c r="I68" s="38">
        <v>810</v>
      </c>
      <c r="J68" s="38"/>
      <c r="K68" s="102" t="s">
        <v>273</v>
      </c>
      <c r="L68" s="146">
        <v>3234621398</v>
      </c>
    </row>
    <row r="69" spans="1:12" s="28" customFormat="1" ht="12.75">
      <c r="A69" s="86">
        <f t="shared" si="1"/>
        <v>51</v>
      </c>
      <c r="B69" s="83" t="s">
        <v>162</v>
      </c>
      <c r="C69" s="59" t="s">
        <v>163</v>
      </c>
      <c r="D69" s="37"/>
      <c r="E69" s="37"/>
      <c r="F69" s="37"/>
      <c r="G69" s="37">
        <v>66.78</v>
      </c>
      <c r="H69" s="37"/>
      <c r="I69" s="38">
        <v>600</v>
      </c>
      <c r="J69" s="38"/>
      <c r="K69" s="102" t="s">
        <v>271</v>
      </c>
      <c r="L69" s="146">
        <v>3204240808</v>
      </c>
    </row>
    <row r="70" spans="1:12" s="28" customFormat="1" ht="12.75">
      <c r="A70" s="86">
        <f t="shared" si="1"/>
        <v>52</v>
      </c>
      <c r="B70" s="83" t="s">
        <v>165</v>
      </c>
      <c r="C70" s="59" t="s">
        <v>166</v>
      </c>
      <c r="D70" s="37"/>
      <c r="E70" s="37"/>
      <c r="F70" s="37"/>
      <c r="G70" s="37">
        <v>39.47</v>
      </c>
      <c r="H70" s="37"/>
      <c r="I70" s="38"/>
      <c r="J70" s="38"/>
      <c r="K70" s="102" t="s">
        <v>271</v>
      </c>
      <c r="L70" s="146">
        <v>3204197043</v>
      </c>
    </row>
    <row r="71" spans="1:12" s="28" customFormat="1" ht="12.75">
      <c r="A71" s="86">
        <f t="shared" si="1"/>
        <v>53</v>
      </c>
      <c r="B71" s="83" t="s">
        <v>168</v>
      </c>
      <c r="C71" s="59" t="s">
        <v>169</v>
      </c>
      <c r="D71" s="37"/>
      <c r="E71" s="37"/>
      <c r="F71" s="37"/>
      <c r="G71" s="37">
        <v>35.93</v>
      </c>
      <c r="H71" s="37"/>
      <c r="I71" s="38">
        <v>768</v>
      </c>
      <c r="J71" s="38"/>
      <c r="K71" s="102" t="s">
        <v>271</v>
      </c>
      <c r="L71" s="146">
        <v>3204079515</v>
      </c>
    </row>
    <row r="72" spans="1:12" s="28" customFormat="1" ht="12.75">
      <c r="A72" s="86">
        <f t="shared" si="1"/>
        <v>54</v>
      </c>
      <c r="B72" s="83" t="s">
        <v>171</v>
      </c>
      <c r="C72" s="59" t="s">
        <v>172</v>
      </c>
      <c r="D72" s="37"/>
      <c r="E72" s="37">
        <v>375.06</v>
      </c>
      <c r="F72" s="37"/>
      <c r="G72" s="37">
        <v>147.54</v>
      </c>
      <c r="H72" s="37"/>
      <c r="I72" s="38">
        <v>650</v>
      </c>
      <c r="J72" s="38"/>
      <c r="K72" s="102" t="s">
        <v>271</v>
      </c>
      <c r="L72" s="146">
        <v>3209023009</v>
      </c>
    </row>
    <row r="73" spans="1:12" s="28" customFormat="1" ht="12.75">
      <c r="A73" s="86">
        <f t="shared" si="1"/>
        <v>55</v>
      </c>
      <c r="B73" s="83" t="s">
        <v>174</v>
      </c>
      <c r="C73" s="59" t="s">
        <v>175</v>
      </c>
      <c r="D73" s="37"/>
      <c r="E73" s="37"/>
      <c r="F73" s="37"/>
      <c r="G73" s="37">
        <v>134.53</v>
      </c>
      <c r="H73" s="37"/>
      <c r="I73" s="38"/>
      <c r="J73" s="38"/>
      <c r="K73" s="102" t="s">
        <v>271</v>
      </c>
      <c r="L73" s="146">
        <v>3204010100</v>
      </c>
    </row>
    <row r="74" spans="1:12" s="28" customFormat="1" ht="12.75">
      <c r="A74" s="86">
        <f t="shared" si="1"/>
        <v>56</v>
      </c>
      <c r="B74" s="83" t="s">
        <v>180</v>
      </c>
      <c r="C74" s="59" t="s">
        <v>181</v>
      </c>
      <c r="D74" s="37"/>
      <c r="E74" s="37"/>
      <c r="F74" s="37"/>
      <c r="G74" s="37">
        <v>87.76</v>
      </c>
      <c r="H74" s="37"/>
      <c r="I74" s="38">
        <v>250</v>
      </c>
      <c r="J74" s="38"/>
      <c r="K74" s="102" t="s">
        <v>271</v>
      </c>
      <c r="L74" s="146">
        <v>3204016235</v>
      </c>
    </row>
    <row r="75" spans="1:12" s="28" customFormat="1" ht="12.75">
      <c r="A75" s="86">
        <f t="shared" si="1"/>
        <v>57</v>
      </c>
      <c r="B75" s="83" t="s">
        <v>285</v>
      </c>
      <c r="C75" s="59" t="s">
        <v>184</v>
      </c>
      <c r="D75" s="37"/>
      <c r="E75" s="37"/>
      <c r="F75" s="37"/>
      <c r="G75" s="37"/>
      <c r="H75" s="37"/>
      <c r="I75" s="38"/>
      <c r="J75" s="38"/>
      <c r="K75" s="102" t="s">
        <v>271</v>
      </c>
      <c r="L75" s="146">
        <v>3204072195</v>
      </c>
    </row>
    <row r="76" spans="1:12" s="28" customFormat="1" ht="12.75">
      <c r="A76" s="86">
        <f t="shared" si="1"/>
        <v>58</v>
      </c>
      <c r="B76" s="83" t="s">
        <v>286</v>
      </c>
      <c r="C76" s="59" t="s">
        <v>187</v>
      </c>
      <c r="D76" s="37"/>
      <c r="E76" s="37"/>
      <c r="F76" s="37"/>
      <c r="G76" s="37">
        <v>42.11</v>
      </c>
      <c r="H76" s="37"/>
      <c r="I76" s="38"/>
      <c r="J76" s="38"/>
      <c r="K76" s="102" t="s">
        <v>271</v>
      </c>
      <c r="L76" s="146">
        <v>3204079960</v>
      </c>
    </row>
    <row r="77" spans="1:12" s="28" customFormat="1" ht="12.75">
      <c r="A77" s="86">
        <f t="shared" si="1"/>
        <v>59</v>
      </c>
      <c r="B77" s="83" t="s">
        <v>189</v>
      </c>
      <c r="C77" s="59" t="s">
        <v>190</v>
      </c>
      <c r="D77" s="37"/>
      <c r="E77" s="37"/>
      <c r="F77" s="37"/>
      <c r="G77" s="37">
        <v>89.41</v>
      </c>
      <c r="H77" s="37"/>
      <c r="I77" s="38">
        <v>250</v>
      </c>
      <c r="J77" s="38"/>
      <c r="K77" s="102" t="s">
        <v>271</v>
      </c>
      <c r="L77" s="146">
        <v>3203970986</v>
      </c>
    </row>
    <row r="78" spans="1:12" s="28" customFormat="1" ht="12.75">
      <c r="A78" s="86">
        <f t="shared" si="1"/>
        <v>60</v>
      </c>
      <c r="B78" s="83" t="s">
        <v>192</v>
      </c>
      <c r="C78" s="59" t="s">
        <v>193</v>
      </c>
      <c r="D78" s="37"/>
      <c r="E78" s="37"/>
      <c r="F78" s="37"/>
      <c r="G78" s="37">
        <v>85.44</v>
      </c>
      <c r="H78" s="37"/>
      <c r="I78" s="38">
        <v>250</v>
      </c>
      <c r="J78" s="38"/>
      <c r="K78" s="102" t="s">
        <v>271</v>
      </c>
      <c r="L78" s="146">
        <v>3204067208</v>
      </c>
    </row>
    <row r="79" spans="1:12" s="28" customFormat="1" ht="12.75">
      <c r="A79" s="86">
        <f t="shared" si="1"/>
        <v>61</v>
      </c>
      <c r="B79" s="83" t="s">
        <v>195</v>
      </c>
      <c r="C79" s="59" t="s">
        <v>196</v>
      </c>
      <c r="D79" s="37"/>
      <c r="E79" s="37"/>
      <c r="F79" s="37"/>
      <c r="G79" s="37">
        <v>84.18</v>
      </c>
      <c r="H79" s="37"/>
      <c r="I79" s="38">
        <v>250</v>
      </c>
      <c r="J79" s="38"/>
      <c r="K79" s="102" t="s">
        <v>271</v>
      </c>
      <c r="L79" s="146">
        <v>3204142989</v>
      </c>
    </row>
    <row r="80" spans="1:12" s="28" customFormat="1" ht="12.75">
      <c r="A80" s="86">
        <f t="shared" si="1"/>
        <v>62</v>
      </c>
      <c r="B80" s="83" t="s">
        <v>198</v>
      </c>
      <c r="C80" s="59" t="s">
        <v>199</v>
      </c>
      <c r="D80" s="37"/>
      <c r="E80" s="37"/>
      <c r="F80" s="37"/>
      <c r="G80" s="37">
        <v>85.84</v>
      </c>
      <c r="H80" s="37"/>
      <c r="I80" s="38">
        <v>600</v>
      </c>
      <c r="J80" s="38"/>
      <c r="K80" s="102" t="s">
        <v>271</v>
      </c>
      <c r="L80" s="146">
        <v>3209666848</v>
      </c>
    </row>
    <row r="81" spans="1:12" s="28" customFormat="1" ht="12.75">
      <c r="A81" s="86">
        <f t="shared" si="1"/>
        <v>63</v>
      </c>
      <c r="B81" s="83" t="s">
        <v>288</v>
      </c>
      <c r="C81" s="59" t="s">
        <v>202</v>
      </c>
      <c r="D81" s="37"/>
      <c r="E81" s="37"/>
      <c r="F81" s="37"/>
      <c r="G81" s="37"/>
      <c r="H81" s="37"/>
      <c r="I81" s="38"/>
      <c r="J81" s="38"/>
      <c r="K81" s="102" t="s">
        <v>271</v>
      </c>
      <c r="L81" s="146">
        <v>3212211696</v>
      </c>
    </row>
    <row r="82" spans="1:12" s="28" customFormat="1" ht="12.75">
      <c r="A82" s="86">
        <f t="shared" si="1"/>
        <v>64</v>
      </c>
      <c r="B82" s="83" t="s">
        <v>204</v>
      </c>
      <c r="C82" s="59" t="s">
        <v>205</v>
      </c>
      <c r="D82" s="37"/>
      <c r="E82" s="37"/>
      <c r="F82" s="37"/>
      <c r="G82" s="37">
        <v>112.76</v>
      </c>
      <c r="H82" s="37"/>
      <c r="I82" s="38">
        <v>850</v>
      </c>
      <c r="J82" s="38"/>
      <c r="K82" s="102" t="s">
        <v>271</v>
      </c>
      <c r="L82" s="146">
        <v>3204034361</v>
      </c>
    </row>
    <row r="83" spans="1:12" s="28" customFormat="1" ht="12.75">
      <c r="A83" s="86">
        <f t="shared" si="1"/>
        <v>65</v>
      </c>
      <c r="B83" s="83" t="s">
        <v>207</v>
      </c>
      <c r="C83" s="59" t="s">
        <v>208</v>
      </c>
      <c r="D83" s="37"/>
      <c r="E83" s="37"/>
      <c r="F83" s="37"/>
      <c r="G83" s="37">
        <v>87.76</v>
      </c>
      <c r="H83" s="37"/>
      <c r="I83" s="38">
        <v>250</v>
      </c>
      <c r="J83" s="38"/>
      <c r="K83" s="107" t="s">
        <v>278</v>
      </c>
      <c r="L83" s="146">
        <v>3203218021</v>
      </c>
    </row>
    <row r="84" spans="1:12" s="28" customFormat="1" ht="12.75">
      <c r="A84" s="86">
        <f t="shared" si="1"/>
        <v>66</v>
      </c>
      <c r="B84" s="88" t="s">
        <v>210</v>
      </c>
      <c r="C84" s="60" t="s">
        <v>211</v>
      </c>
      <c r="D84" s="43"/>
      <c r="E84" s="43"/>
      <c r="F84" s="43"/>
      <c r="G84" s="43">
        <v>177.95</v>
      </c>
      <c r="H84" s="43"/>
      <c r="I84" s="44">
        <v>250</v>
      </c>
      <c r="J84" s="44"/>
      <c r="K84" s="103" t="s">
        <v>276</v>
      </c>
      <c r="L84" s="147">
        <v>3242020709</v>
      </c>
    </row>
    <row r="85" spans="1:12" s="28" customFormat="1" ht="13.5" thickBot="1">
      <c r="A85" s="91">
        <f t="shared" si="1"/>
        <v>67</v>
      </c>
      <c r="B85" s="135" t="s">
        <v>213</v>
      </c>
      <c r="C85" s="136" t="s">
        <v>214</v>
      </c>
      <c r="D85" s="137"/>
      <c r="E85" s="137"/>
      <c r="F85" s="137"/>
      <c r="G85" s="137">
        <v>169.4</v>
      </c>
      <c r="H85" s="137">
        <v>368.4</v>
      </c>
      <c r="I85" s="140"/>
      <c r="J85" s="143"/>
      <c r="K85" s="139" t="s">
        <v>271</v>
      </c>
      <c r="L85" s="141">
        <v>3207325476</v>
      </c>
    </row>
    <row r="86" spans="1:12" s="28" customFormat="1" ht="12.75">
      <c r="A86" s="70"/>
      <c r="B86" s="71"/>
      <c r="C86" s="72"/>
      <c r="D86" s="73"/>
      <c r="E86" s="73"/>
      <c r="F86" s="73"/>
      <c r="G86" s="73"/>
      <c r="H86" s="73"/>
      <c r="I86" s="73"/>
      <c r="J86" s="73"/>
      <c r="K86" s="104"/>
      <c r="L86" s="115"/>
    </row>
    <row r="87" spans="1:12" s="28" customFormat="1" ht="12.75">
      <c r="A87" s="70"/>
      <c r="B87" s="71"/>
      <c r="C87" s="72"/>
      <c r="D87" s="73"/>
      <c r="E87" s="73"/>
      <c r="F87" s="73"/>
      <c r="G87" s="73"/>
      <c r="H87" s="73"/>
      <c r="I87" s="73"/>
      <c r="J87" s="73"/>
      <c r="K87" s="104"/>
      <c r="L87" s="115"/>
    </row>
    <row r="88" spans="11:12" s="28" customFormat="1" ht="11.25" customHeight="1">
      <c r="K88" s="105"/>
      <c r="L88" s="116"/>
    </row>
    <row r="89" spans="11:12" s="28" customFormat="1" ht="13.5" thickBot="1">
      <c r="K89" s="105"/>
      <c r="L89" s="116"/>
    </row>
    <row r="90" spans="1:12" s="28" customFormat="1" ht="21.75" customHeight="1" thickBot="1">
      <c r="A90" s="54" t="s">
        <v>256</v>
      </c>
      <c r="B90" s="57" t="s">
        <v>17</v>
      </c>
      <c r="C90" s="54" t="s">
        <v>254</v>
      </c>
      <c r="D90" s="68" t="s">
        <v>259</v>
      </c>
      <c r="E90" s="68" t="s">
        <v>260</v>
      </c>
      <c r="F90" s="68" t="s">
        <v>261</v>
      </c>
      <c r="G90" s="68" t="s">
        <v>262</v>
      </c>
      <c r="H90" s="68" t="s">
        <v>263</v>
      </c>
      <c r="I90" s="69" t="s">
        <v>264</v>
      </c>
      <c r="J90" s="142"/>
      <c r="K90" s="78" t="s">
        <v>270</v>
      </c>
      <c r="L90" s="111" t="s">
        <v>280</v>
      </c>
    </row>
    <row r="91" spans="1:12" s="28" customFormat="1" ht="12.75">
      <c r="A91" s="85">
        <v>68</v>
      </c>
      <c r="B91" s="71" t="s">
        <v>216</v>
      </c>
      <c r="C91" s="150" t="s">
        <v>217</v>
      </c>
      <c r="D91" s="148"/>
      <c r="E91" s="148"/>
      <c r="F91" s="148"/>
      <c r="G91" s="148">
        <v>170.27</v>
      </c>
      <c r="H91" s="148"/>
      <c r="I91" s="149">
        <v>250</v>
      </c>
      <c r="J91" s="73"/>
      <c r="K91" s="106" t="s">
        <v>275</v>
      </c>
      <c r="L91" s="145">
        <v>3220513030</v>
      </c>
    </row>
    <row r="92" spans="1:12" s="28" customFormat="1" ht="12.75">
      <c r="A92" s="86">
        <f aca="true" t="shared" si="2" ref="A92:A104">SUM(A91+1)</f>
        <v>69</v>
      </c>
      <c r="B92" s="129" t="s">
        <v>221</v>
      </c>
      <c r="C92" s="59" t="s">
        <v>222</v>
      </c>
      <c r="D92" s="37">
        <v>204.52</v>
      </c>
      <c r="E92" s="37"/>
      <c r="F92" s="37"/>
      <c r="G92" s="37">
        <v>166.96</v>
      </c>
      <c r="H92" s="37"/>
      <c r="I92" s="38">
        <v>1956</v>
      </c>
      <c r="J92" s="38"/>
      <c r="K92" s="100" t="s">
        <v>276</v>
      </c>
      <c r="L92" s="146">
        <v>3243353856</v>
      </c>
    </row>
    <row r="93" spans="1:12" s="28" customFormat="1" ht="12.75">
      <c r="A93" s="86">
        <f t="shared" si="2"/>
        <v>70</v>
      </c>
      <c r="B93" s="83" t="s">
        <v>224</v>
      </c>
      <c r="C93" s="59" t="s">
        <v>225</v>
      </c>
      <c r="D93" s="37"/>
      <c r="E93" s="37"/>
      <c r="F93" s="37"/>
      <c r="G93" s="37"/>
      <c r="H93" s="37"/>
      <c r="I93" s="38">
        <v>810</v>
      </c>
      <c r="J93" s="38"/>
      <c r="K93" s="102" t="s">
        <v>271</v>
      </c>
      <c r="L93" s="146">
        <v>3204010433</v>
      </c>
    </row>
    <row r="94" spans="1:12" s="28" customFormat="1" ht="12.75">
      <c r="A94" s="86">
        <f t="shared" si="2"/>
        <v>71</v>
      </c>
      <c r="B94" s="83" t="s">
        <v>227</v>
      </c>
      <c r="C94" s="59" t="s">
        <v>228</v>
      </c>
      <c r="D94" s="37"/>
      <c r="E94" s="37"/>
      <c r="F94" s="37"/>
      <c r="G94" s="37"/>
      <c r="H94" s="37"/>
      <c r="I94" s="38">
        <v>250</v>
      </c>
      <c r="J94" s="38"/>
      <c r="K94" s="102" t="s">
        <v>271</v>
      </c>
      <c r="L94" s="146">
        <v>3204010191</v>
      </c>
    </row>
    <row r="95" spans="1:12" s="28" customFormat="1" ht="12.75">
      <c r="A95" s="86">
        <f t="shared" si="2"/>
        <v>72</v>
      </c>
      <c r="B95" s="83" t="s">
        <v>230</v>
      </c>
      <c r="C95" s="59" t="s">
        <v>231</v>
      </c>
      <c r="D95" s="37"/>
      <c r="E95" s="37"/>
      <c r="F95" s="37"/>
      <c r="G95" s="37"/>
      <c r="H95" s="37"/>
      <c r="I95" s="38">
        <v>250</v>
      </c>
      <c r="J95" s="38"/>
      <c r="K95" s="102" t="s">
        <v>271</v>
      </c>
      <c r="L95" s="146">
        <v>3203942467</v>
      </c>
    </row>
    <row r="96" spans="1:12" s="28" customFormat="1" ht="12.75">
      <c r="A96" s="86">
        <f t="shared" si="2"/>
        <v>73</v>
      </c>
      <c r="B96" s="83" t="s">
        <v>258</v>
      </c>
      <c r="C96" s="59" t="s">
        <v>282</v>
      </c>
      <c r="D96" s="37"/>
      <c r="E96" s="37"/>
      <c r="F96" s="37"/>
      <c r="G96" s="37"/>
      <c r="H96" s="37"/>
      <c r="I96" s="38">
        <v>823</v>
      </c>
      <c r="J96" s="38"/>
      <c r="K96" s="102" t="s">
        <v>271</v>
      </c>
      <c r="L96" s="146">
        <v>3204212845</v>
      </c>
    </row>
    <row r="97" spans="1:12" s="28" customFormat="1" ht="12.75">
      <c r="A97" s="86">
        <f t="shared" si="2"/>
        <v>74</v>
      </c>
      <c r="B97" s="83" t="s">
        <v>232</v>
      </c>
      <c r="C97" s="59" t="s">
        <v>233</v>
      </c>
      <c r="D97" s="37"/>
      <c r="E97" s="37"/>
      <c r="F97" s="37"/>
      <c r="G97" s="37">
        <v>80</v>
      </c>
      <c r="H97" s="37"/>
      <c r="I97" s="38">
        <v>250</v>
      </c>
      <c r="J97" s="38"/>
      <c r="K97" s="102" t="s">
        <v>271</v>
      </c>
      <c r="L97" s="146">
        <v>3203978191</v>
      </c>
    </row>
    <row r="98" spans="1:12" s="28" customFormat="1" ht="12.75">
      <c r="A98" s="86">
        <f t="shared" si="2"/>
        <v>75</v>
      </c>
      <c r="B98" s="83" t="s">
        <v>234</v>
      </c>
      <c r="C98" s="59" t="s">
        <v>235</v>
      </c>
      <c r="D98" s="37"/>
      <c r="E98" s="37"/>
      <c r="F98" s="37"/>
      <c r="G98" s="37"/>
      <c r="H98" s="37"/>
      <c r="I98" s="38"/>
      <c r="J98" s="38"/>
      <c r="K98" s="102" t="s">
        <v>271</v>
      </c>
      <c r="L98" s="146">
        <v>3204010505</v>
      </c>
    </row>
    <row r="99" spans="1:12" s="28" customFormat="1" ht="12.75">
      <c r="A99" s="86">
        <f t="shared" si="2"/>
        <v>76</v>
      </c>
      <c r="B99" s="83" t="s">
        <v>287</v>
      </c>
      <c r="C99" s="59" t="s">
        <v>237</v>
      </c>
      <c r="D99" s="37"/>
      <c r="E99" s="37"/>
      <c r="F99" s="37"/>
      <c r="G99" s="37">
        <v>42.27</v>
      </c>
      <c r="H99" s="37"/>
      <c r="I99" s="38"/>
      <c r="J99" s="38"/>
      <c r="K99" s="102" t="s">
        <v>271</v>
      </c>
      <c r="L99" s="146">
        <v>3204169869</v>
      </c>
    </row>
    <row r="100" spans="1:12" s="28" customFormat="1" ht="12.75">
      <c r="A100" s="86">
        <f t="shared" si="2"/>
        <v>77</v>
      </c>
      <c r="B100" s="83" t="s">
        <v>240</v>
      </c>
      <c r="C100" s="59" t="s">
        <v>241</v>
      </c>
      <c r="D100" s="37"/>
      <c r="E100" s="37"/>
      <c r="F100" s="37"/>
      <c r="G100" s="37">
        <v>135.8</v>
      </c>
      <c r="H100" s="37"/>
      <c r="I100" s="38">
        <v>752</v>
      </c>
      <c r="J100" s="38"/>
      <c r="K100" s="102" t="s">
        <v>271</v>
      </c>
      <c r="L100" s="146">
        <v>3205778577</v>
      </c>
    </row>
    <row r="101" spans="1:12" s="28" customFormat="1" ht="12.75">
      <c r="A101" s="86">
        <f t="shared" si="2"/>
        <v>78</v>
      </c>
      <c r="B101" s="83" t="s">
        <v>242</v>
      </c>
      <c r="C101" s="59" t="s">
        <v>243</v>
      </c>
      <c r="D101" s="37"/>
      <c r="E101" s="37"/>
      <c r="F101" s="37"/>
      <c r="G101" s="37">
        <v>38.45</v>
      </c>
      <c r="H101" s="37"/>
      <c r="I101" s="38">
        <v>1200</v>
      </c>
      <c r="J101" s="38"/>
      <c r="K101" s="107" t="s">
        <v>279</v>
      </c>
      <c r="L101" s="146">
        <v>3200516734</v>
      </c>
    </row>
    <row r="102" spans="1:12" s="28" customFormat="1" ht="12.75">
      <c r="A102" s="86">
        <f t="shared" si="2"/>
        <v>79</v>
      </c>
      <c r="B102" s="83" t="s">
        <v>244</v>
      </c>
      <c r="C102" s="59" t="s">
        <v>245</v>
      </c>
      <c r="D102" s="37"/>
      <c r="E102" s="37"/>
      <c r="F102" s="37"/>
      <c r="G102" s="37">
        <v>170.27</v>
      </c>
      <c r="H102" s="37">
        <v>127.2</v>
      </c>
      <c r="I102" s="38">
        <v>830</v>
      </c>
      <c r="J102" s="38"/>
      <c r="K102" s="102" t="s">
        <v>271</v>
      </c>
      <c r="L102" s="146">
        <v>3204141898</v>
      </c>
    </row>
    <row r="103" spans="1:12" s="28" customFormat="1" ht="12.75">
      <c r="A103" s="86">
        <f t="shared" si="2"/>
        <v>80</v>
      </c>
      <c r="B103" s="83" t="s">
        <v>246</v>
      </c>
      <c r="C103" s="59" t="s">
        <v>247</v>
      </c>
      <c r="D103" s="37"/>
      <c r="E103" s="37"/>
      <c r="F103" s="37"/>
      <c r="G103" s="37">
        <v>171.93</v>
      </c>
      <c r="H103" s="37"/>
      <c r="I103" s="38">
        <v>600</v>
      </c>
      <c r="J103" s="38"/>
      <c r="K103" s="102" t="s">
        <v>275</v>
      </c>
      <c r="L103" s="146">
        <v>3221235503</v>
      </c>
    </row>
    <row r="104" spans="1:12" s="28" customFormat="1" ht="13.5" thickBot="1">
      <c r="A104" s="92">
        <f t="shared" si="2"/>
        <v>81</v>
      </c>
      <c r="B104" s="83" t="s">
        <v>248</v>
      </c>
      <c r="C104" s="59" t="s">
        <v>249</v>
      </c>
      <c r="D104" s="37">
        <v>107.87</v>
      </c>
      <c r="E104" s="37"/>
      <c r="F104" s="37"/>
      <c r="G104" s="37">
        <v>168.88</v>
      </c>
      <c r="H104" s="37"/>
      <c r="I104" s="38">
        <v>600</v>
      </c>
      <c r="J104" s="44"/>
      <c r="K104" s="103" t="s">
        <v>275</v>
      </c>
      <c r="L104" s="147">
        <v>3223040861</v>
      </c>
    </row>
    <row r="105" spans="1:12" s="1" customFormat="1" ht="19.5" thickBot="1">
      <c r="A105" s="97"/>
      <c r="B105" s="84" t="s">
        <v>238</v>
      </c>
      <c r="C105" s="66"/>
      <c r="D105" s="12">
        <f aca="true" t="shared" si="3" ref="D105:I105">SUM(D6:D104)</f>
        <v>4763.87</v>
      </c>
      <c r="E105" s="12">
        <f t="shared" si="3"/>
        <v>1808.28</v>
      </c>
      <c r="F105" s="12">
        <f t="shared" si="3"/>
        <v>969.49</v>
      </c>
      <c r="G105" s="12">
        <f t="shared" si="3"/>
        <v>11066.930000000002</v>
      </c>
      <c r="H105" s="12">
        <f t="shared" si="3"/>
        <v>2269.0299999999997</v>
      </c>
      <c r="I105" s="94">
        <f t="shared" si="3"/>
        <v>33561</v>
      </c>
      <c r="J105" s="144"/>
      <c r="K105" s="109"/>
      <c r="L105" s="9"/>
    </row>
    <row r="106" spans="11:12" s="28" customFormat="1" ht="12.75">
      <c r="K106" s="105"/>
      <c r="L106" s="116"/>
    </row>
    <row r="107" spans="11:12" s="28" customFormat="1" ht="12.75">
      <c r="K107" s="105"/>
      <c r="L107" s="116"/>
    </row>
    <row r="108" spans="11:12" s="28" customFormat="1" ht="12.75">
      <c r="K108" s="105"/>
      <c r="L108" s="116"/>
    </row>
    <row r="109" spans="11:12" s="28" customFormat="1" ht="12.75">
      <c r="K109" s="105"/>
      <c r="L109" s="116"/>
    </row>
    <row r="110" spans="11:12" s="28" customFormat="1" ht="12.75">
      <c r="K110" s="105"/>
      <c r="L110" s="116"/>
    </row>
    <row r="111" spans="11:12" s="28" customFormat="1" ht="12.75">
      <c r="K111" s="105"/>
      <c r="L111" s="116"/>
    </row>
    <row r="112" spans="11:12" s="28" customFormat="1" ht="12.75">
      <c r="K112" s="105"/>
      <c r="L112" s="116"/>
    </row>
    <row r="113" spans="11:12" s="28" customFormat="1" ht="12.75">
      <c r="K113" s="105"/>
      <c r="L113" s="116"/>
    </row>
    <row r="114" spans="11:12" s="28" customFormat="1" ht="12.75">
      <c r="K114" s="105"/>
      <c r="L114" s="116"/>
    </row>
    <row r="115" spans="11:12" s="28" customFormat="1" ht="12.75">
      <c r="K115" s="105"/>
      <c r="L115" s="116"/>
    </row>
    <row r="116" spans="11:12" s="28" customFormat="1" ht="12.75">
      <c r="K116" s="105"/>
      <c r="L116" s="116"/>
    </row>
    <row r="117" spans="11:12" s="28" customFormat="1" ht="12.75">
      <c r="K117" s="105"/>
      <c r="L117" s="116"/>
    </row>
    <row r="118" spans="11:12" s="28" customFormat="1" ht="12.75">
      <c r="K118" s="105"/>
      <c r="L118" s="116"/>
    </row>
    <row r="119" spans="11:12" s="28" customFormat="1" ht="12.75">
      <c r="K119" s="105"/>
      <c r="L119" s="116"/>
    </row>
    <row r="120" spans="11:12" s="28" customFormat="1" ht="12.75">
      <c r="K120" s="105"/>
      <c r="L120" s="116"/>
    </row>
    <row r="121" spans="11:12" s="28" customFormat="1" ht="12.75">
      <c r="K121" s="105"/>
      <c r="L121" s="116"/>
    </row>
    <row r="122" spans="11:12" s="28" customFormat="1" ht="12.75">
      <c r="K122" s="105"/>
      <c r="L122" s="116"/>
    </row>
    <row r="123" spans="11:12" s="28" customFormat="1" ht="12.75">
      <c r="K123" s="105"/>
      <c r="L123" s="116"/>
    </row>
    <row r="124" spans="11:12" s="28" customFormat="1" ht="12.75">
      <c r="K124" s="105"/>
      <c r="L124" s="116"/>
    </row>
    <row r="125" spans="11:12" s="28" customFormat="1" ht="12.75">
      <c r="K125" s="105"/>
      <c r="L125" s="116"/>
    </row>
    <row r="126" spans="11:12" s="28" customFormat="1" ht="12.75">
      <c r="K126" s="105"/>
      <c r="L126" s="116"/>
    </row>
    <row r="127" spans="11:12" s="28" customFormat="1" ht="12.75">
      <c r="K127" s="105"/>
      <c r="L127" s="116"/>
    </row>
    <row r="128" spans="11:12" s="28" customFormat="1" ht="12.75">
      <c r="K128" s="105"/>
      <c r="L128" s="116"/>
    </row>
    <row r="129" spans="11:12" s="28" customFormat="1" ht="12.75">
      <c r="K129" s="105"/>
      <c r="L129" s="116"/>
    </row>
    <row r="130" spans="11:12" s="28" customFormat="1" ht="12.75">
      <c r="K130" s="105"/>
      <c r="L130" s="116"/>
    </row>
    <row r="131" spans="11:12" s="28" customFormat="1" ht="12.75">
      <c r="K131" s="105"/>
      <c r="L131" s="116"/>
    </row>
    <row r="132" spans="11:12" s="28" customFormat="1" ht="12.75">
      <c r="K132" s="105"/>
      <c r="L132" s="116"/>
    </row>
    <row r="133" spans="11:12" s="28" customFormat="1" ht="12.75">
      <c r="K133" s="105"/>
      <c r="L133" s="116"/>
    </row>
    <row r="134" spans="11:12" s="28" customFormat="1" ht="12.75">
      <c r="K134" s="105"/>
      <c r="L134" s="116"/>
    </row>
    <row r="135" spans="11:12" s="28" customFormat="1" ht="12.75">
      <c r="K135" s="105"/>
      <c r="L135" s="116"/>
    </row>
    <row r="136" spans="11:12" s="28" customFormat="1" ht="12.75">
      <c r="K136" s="105"/>
      <c r="L136" s="116"/>
    </row>
    <row r="137" spans="11:12" s="28" customFormat="1" ht="12.75">
      <c r="K137" s="105"/>
      <c r="L137" s="116"/>
    </row>
    <row r="138" spans="11:12" s="28" customFormat="1" ht="12.75">
      <c r="K138" s="105"/>
      <c r="L138" s="116"/>
    </row>
    <row r="139" spans="11:12" s="28" customFormat="1" ht="12.75">
      <c r="K139" s="105"/>
      <c r="L139" s="116"/>
    </row>
    <row r="140" spans="11:12" s="28" customFormat="1" ht="12.75">
      <c r="K140" s="105"/>
      <c r="L140" s="116"/>
    </row>
    <row r="141" spans="11:12" s="28" customFormat="1" ht="12.75">
      <c r="K141" s="105"/>
      <c r="L141" s="116"/>
    </row>
    <row r="142" spans="11:12" s="28" customFormat="1" ht="12.75">
      <c r="K142" s="105"/>
      <c r="L142" s="116"/>
    </row>
    <row r="143" spans="11:12" s="28" customFormat="1" ht="12.75">
      <c r="K143" s="105"/>
      <c r="L143" s="116"/>
    </row>
    <row r="144" spans="11:12" s="28" customFormat="1" ht="12.75">
      <c r="K144" s="105"/>
      <c r="L144" s="116"/>
    </row>
    <row r="145" spans="11:12" s="28" customFormat="1" ht="12.75">
      <c r="K145" s="105"/>
      <c r="L145" s="116"/>
    </row>
    <row r="146" spans="11:12" s="28" customFormat="1" ht="12.75">
      <c r="K146" s="105"/>
      <c r="L146" s="116"/>
    </row>
    <row r="147" spans="11:12" s="28" customFormat="1" ht="12.75">
      <c r="K147" s="105"/>
      <c r="L147" s="116"/>
    </row>
    <row r="148" spans="11:12" s="28" customFormat="1" ht="12.75">
      <c r="K148" s="105"/>
      <c r="L148" s="116"/>
    </row>
    <row r="149" spans="11:12" s="28" customFormat="1" ht="12.75">
      <c r="K149" s="105"/>
      <c r="L149" s="116"/>
    </row>
    <row r="150" spans="11:12" s="28" customFormat="1" ht="12.75">
      <c r="K150" s="105"/>
      <c r="L150" s="116"/>
    </row>
    <row r="151" spans="11:12" s="28" customFormat="1" ht="12.75">
      <c r="K151" s="105"/>
      <c r="L151" s="116"/>
    </row>
    <row r="152" spans="11:12" s="28" customFormat="1" ht="12.75">
      <c r="K152" s="105"/>
      <c r="L152" s="116"/>
    </row>
    <row r="153" spans="11:12" s="28" customFormat="1" ht="12.75">
      <c r="K153" s="105"/>
      <c r="L153" s="116"/>
    </row>
    <row r="154" spans="11:12" s="28" customFormat="1" ht="12.75">
      <c r="K154" s="105"/>
      <c r="L154" s="116"/>
    </row>
    <row r="155" spans="11:12" s="28" customFormat="1" ht="12.75">
      <c r="K155" s="105"/>
      <c r="L155" s="116"/>
    </row>
    <row r="156" spans="11:12" s="28" customFormat="1" ht="12.75">
      <c r="K156" s="105"/>
      <c r="L156" s="116"/>
    </row>
    <row r="157" spans="11:12" s="28" customFormat="1" ht="12.75">
      <c r="K157" s="105"/>
      <c r="L157" s="116"/>
    </row>
    <row r="158" spans="11:12" s="28" customFormat="1" ht="12.75">
      <c r="K158" s="105"/>
      <c r="L158" s="116"/>
    </row>
    <row r="159" spans="11:12" s="28" customFormat="1" ht="12.75">
      <c r="K159" s="105"/>
      <c r="L159" s="116"/>
    </row>
    <row r="160" spans="11:12" s="28" customFormat="1" ht="12.75">
      <c r="K160" s="105"/>
      <c r="L160" s="116"/>
    </row>
    <row r="161" spans="11:12" s="28" customFormat="1" ht="12.75">
      <c r="K161" s="105"/>
      <c r="L161" s="116"/>
    </row>
    <row r="162" spans="11:12" s="28" customFormat="1" ht="12.75">
      <c r="K162" s="105"/>
      <c r="L162" s="116"/>
    </row>
    <row r="163" spans="11:12" s="28" customFormat="1" ht="12.75">
      <c r="K163" s="105"/>
      <c r="L163" s="116"/>
    </row>
    <row r="164" spans="11:12" s="28" customFormat="1" ht="12.75">
      <c r="K164" s="105"/>
      <c r="L164" s="116"/>
    </row>
    <row r="165" spans="11:12" s="28" customFormat="1" ht="12.75">
      <c r="K165" s="105"/>
      <c r="L165" s="116"/>
    </row>
    <row r="166" spans="11:12" s="28" customFormat="1" ht="12.75">
      <c r="K166" s="105"/>
      <c r="L166" s="116"/>
    </row>
    <row r="167" spans="11:12" s="28" customFormat="1" ht="12.75">
      <c r="K167" s="105"/>
      <c r="L167" s="116"/>
    </row>
    <row r="168" spans="11:12" s="28" customFormat="1" ht="12.75">
      <c r="K168" s="105"/>
      <c r="L168" s="116"/>
    </row>
    <row r="169" spans="11:12" s="28" customFormat="1" ht="12.75">
      <c r="K169" s="105"/>
      <c r="L169" s="116"/>
    </row>
    <row r="170" spans="11:12" s="28" customFormat="1" ht="12.75">
      <c r="K170" s="105"/>
      <c r="L170" s="116"/>
    </row>
    <row r="171" spans="11:12" s="28" customFormat="1" ht="12.75">
      <c r="K171" s="105"/>
      <c r="L171" s="116"/>
    </row>
    <row r="172" spans="11:12" s="28" customFormat="1" ht="12.75">
      <c r="K172" s="105"/>
      <c r="L172" s="116"/>
    </row>
    <row r="173" spans="11:12" s="28" customFormat="1" ht="12.75">
      <c r="K173" s="105"/>
      <c r="L173" s="116"/>
    </row>
    <row r="174" spans="11:12" s="28" customFormat="1" ht="12.75">
      <c r="K174" s="105"/>
      <c r="L174" s="116"/>
    </row>
    <row r="175" spans="11:12" s="28" customFormat="1" ht="12.75">
      <c r="K175" s="105"/>
      <c r="L175" s="116"/>
    </row>
    <row r="176" spans="11:12" s="28" customFormat="1" ht="12.75">
      <c r="K176" s="105"/>
      <c r="L176" s="116"/>
    </row>
    <row r="177" spans="11:12" s="28" customFormat="1" ht="12.75">
      <c r="K177" s="105"/>
      <c r="L177" s="116"/>
    </row>
    <row r="178" spans="11:12" s="28" customFormat="1" ht="12.75">
      <c r="K178" s="105"/>
      <c r="L178" s="116"/>
    </row>
    <row r="179" spans="11:12" s="28" customFormat="1" ht="12.75">
      <c r="K179" s="105"/>
      <c r="L179" s="116"/>
    </row>
    <row r="180" spans="11:12" s="28" customFormat="1" ht="12.75">
      <c r="K180" s="105"/>
      <c r="L180" s="116"/>
    </row>
    <row r="181" spans="11:12" s="28" customFormat="1" ht="12.75">
      <c r="K181" s="105"/>
      <c r="L181" s="116"/>
    </row>
    <row r="182" spans="11:12" s="28" customFormat="1" ht="12.75">
      <c r="K182" s="105"/>
      <c r="L182" s="116"/>
    </row>
    <row r="183" spans="11:12" s="28" customFormat="1" ht="12.75">
      <c r="K183" s="105"/>
      <c r="L183" s="116"/>
    </row>
    <row r="184" spans="11:12" s="28" customFormat="1" ht="12.75">
      <c r="K184" s="105"/>
      <c r="L184" s="116"/>
    </row>
    <row r="185" spans="11:12" s="28" customFormat="1" ht="12.75">
      <c r="K185" s="105"/>
      <c r="L185" s="116"/>
    </row>
    <row r="186" spans="11:12" s="28" customFormat="1" ht="12.75">
      <c r="K186" s="105"/>
      <c r="L186" s="116"/>
    </row>
    <row r="187" spans="11:12" s="28" customFormat="1" ht="12.75">
      <c r="K187" s="105"/>
      <c r="L187" s="116"/>
    </row>
    <row r="188" spans="11:12" s="28" customFormat="1" ht="12.75">
      <c r="K188" s="105"/>
      <c r="L188" s="116"/>
    </row>
    <row r="189" spans="11:12" s="28" customFormat="1" ht="12.75">
      <c r="K189" s="105"/>
      <c r="L189" s="116"/>
    </row>
    <row r="190" spans="11:12" s="28" customFormat="1" ht="12.75">
      <c r="K190" s="105"/>
      <c r="L190" s="116"/>
    </row>
    <row r="191" spans="11:12" s="28" customFormat="1" ht="12.75">
      <c r="K191" s="105"/>
      <c r="L191" s="116"/>
    </row>
    <row r="192" spans="11:12" s="28" customFormat="1" ht="12.75">
      <c r="K192" s="105"/>
      <c r="L192" s="116"/>
    </row>
    <row r="193" spans="11:12" s="28" customFormat="1" ht="12.75">
      <c r="K193" s="105"/>
      <c r="L193" s="116"/>
    </row>
    <row r="194" spans="11:12" s="28" customFormat="1" ht="12.75">
      <c r="K194" s="105"/>
      <c r="L194" s="116"/>
    </row>
    <row r="195" spans="11:12" s="28" customFormat="1" ht="12.75">
      <c r="K195" s="105"/>
      <c r="L195" s="116"/>
    </row>
    <row r="196" spans="11:12" s="28" customFormat="1" ht="12.75">
      <c r="K196" s="105"/>
      <c r="L196" s="116"/>
    </row>
    <row r="197" spans="11:12" s="28" customFormat="1" ht="12.75">
      <c r="K197" s="105"/>
      <c r="L197" s="116"/>
    </row>
    <row r="198" spans="11:12" s="28" customFormat="1" ht="12.75">
      <c r="K198" s="105"/>
      <c r="L198" s="116"/>
    </row>
    <row r="199" spans="11:12" s="28" customFormat="1" ht="12.75">
      <c r="K199" s="105"/>
      <c r="L199" s="116"/>
    </row>
    <row r="200" spans="11:12" s="28" customFormat="1" ht="12.75">
      <c r="K200" s="105"/>
      <c r="L200" s="116"/>
    </row>
    <row r="201" spans="11:12" s="28" customFormat="1" ht="12.75">
      <c r="K201" s="105"/>
      <c r="L201" s="116"/>
    </row>
    <row r="202" spans="11:12" s="28" customFormat="1" ht="12.75">
      <c r="K202" s="105"/>
      <c r="L202" s="116"/>
    </row>
    <row r="203" spans="11:12" s="28" customFormat="1" ht="12.75">
      <c r="K203" s="105"/>
      <c r="L203" s="116"/>
    </row>
    <row r="204" spans="11:12" s="28" customFormat="1" ht="12.75">
      <c r="K204" s="105"/>
      <c r="L204" s="116"/>
    </row>
    <row r="205" spans="11:12" s="28" customFormat="1" ht="12.75">
      <c r="K205" s="105"/>
      <c r="L205" s="116"/>
    </row>
    <row r="206" spans="11:12" s="28" customFormat="1" ht="12.75">
      <c r="K206" s="105"/>
      <c r="L206" s="116"/>
    </row>
    <row r="207" spans="11:12" s="28" customFormat="1" ht="12.75">
      <c r="K207" s="105"/>
      <c r="L207" s="116"/>
    </row>
    <row r="208" spans="11:12" s="28" customFormat="1" ht="12.75">
      <c r="K208" s="105"/>
      <c r="L208" s="116"/>
    </row>
    <row r="209" spans="11:12" s="28" customFormat="1" ht="12.75">
      <c r="K209" s="105"/>
      <c r="L209" s="116"/>
    </row>
    <row r="210" spans="11:12" s="28" customFormat="1" ht="12.75">
      <c r="K210" s="105"/>
      <c r="L210" s="116"/>
    </row>
    <row r="211" spans="11:12" s="28" customFormat="1" ht="12.75">
      <c r="K211" s="105"/>
      <c r="L211" s="116"/>
    </row>
    <row r="212" spans="11:12" s="28" customFormat="1" ht="12.75">
      <c r="K212" s="105"/>
      <c r="L212" s="116"/>
    </row>
    <row r="213" spans="11:12" s="28" customFormat="1" ht="12.75">
      <c r="K213" s="105"/>
      <c r="L213" s="116"/>
    </row>
    <row r="214" spans="11:12" s="28" customFormat="1" ht="12.75">
      <c r="K214" s="105"/>
      <c r="L214" s="116"/>
    </row>
    <row r="215" spans="11:12" s="28" customFormat="1" ht="12.75">
      <c r="K215" s="105"/>
      <c r="L215" s="116"/>
    </row>
    <row r="216" spans="11:12" s="28" customFormat="1" ht="12.75">
      <c r="K216" s="105"/>
      <c r="L216" s="116"/>
    </row>
    <row r="217" spans="11:12" s="28" customFormat="1" ht="12.75">
      <c r="K217" s="105"/>
      <c r="L217" s="116"/>
    </row>
    <row r="218" spans="11:12" s="28" customFormat="1" ht="12.75">
      <c r="K218" s="105"/>
      <c r="L218" s="116"/>
    </row>
    <row r="219" spans="11:12" s="28" customFormat="1" ht="12.75">
      <c r="K219" s="105"/>
      <c r="L219" s="116"/>
    </row>
    <row r="220" spans="11:12" s="28" customFormat="1" ht="12.75">
      <c r="K220" s="105"/>
      <c r="L220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220"/>
  <sheetViews>
    <sheetView zoomScalePageLayoutView="0" workbookViewId="0" topLeftCell="A43">
      <selection activeCell="G16" sqref="G16"/>
    </sheetView>
  </sheetViews>
  <sheetFormatPr defaultColWidth="9.140625" defaultRowHeight="15"/>
  <cols>
    <col min="1" max="1" width="4.00390625" style="0" customWidth="1"/>
    <col min="2" max="2" width="18.00390625" style="0" customWidth="1"/>
    <col min="3" max="3" width="3.421875" style="0" customWidth="1"/>
    <col min="4" max="4" width="16.28125" style="0" customWidth="1"/>
    <col min="5" max="5" width="12.28125" style="0" customWidth="1"/>
    <col min="6" max="6" width="10.57421875" style="0" customWidth="1"/>
    <col min="7" max="7" width="12.140625" style="0" customWidth="1"/>
    <col min="8" max="8" width="11.421875" style="0" customWidth="1"/>
    <col min="9" max="9" width="13.00390625" style="0" customWidth="1"/>
    <col min="10" max="10" width="8.8515625" style="98" customWidth="1"/>
    <col min="11" max="11" width="13.7109375" style="110" customWidth="1"/>
    <col min="12" max="12" width="8.421875" style="110" customWidth="1"/>
  </cols>
  <sheetData>
    <row r="3" ht="15">
      <c r="A3" t="s">
        <v>283</v>
      </c>
    </row>
    <row r="4" ht="15.75" thickBot="1"/>
    <row r="5" spans="1:12" s="28" customFormat="1" ht="21.75" customHeight="1" thickBot="1">
      <c r="A5" s="54" t="s">
        <v>256</v>
      </c>
      <c r="B5" s="57" t="s">
        <v>17</v>
      </c>
      <c r="C5" s="54" t="s">
        <v>254</v>
      </c>
      <c r="D5" s="68" t="s">
        <v>259</v>
      </c>
      <c r="E5" s="68" t="s">
        <v>260</v>
      </c>
      <c r="F5" s="68" t="s">
        <v>261</v>
      </c>
      <c r="G5" s="68" t="s">
        <v>262</v>
      </c>
      <c r="H5" s="68" t="s">
        <v>263</v>
      </c>
      <c r="I5" s="69" t="s">
        <v>264</v>
      </c>
      <c r="J5" s="75" t="s">
        <v>270</v>
      </c>
      <c r="K5" s="111" t="s">
        <v>280</v>
      </c>
      <c r="L5" s="111"/>
    </row>
    <row r="6" spans="1:12" s="28" customFormat="1" ht="12.75">
      <c r="A6" s="90" t="s">
        <v>1</v>
      </c>
      <c r="B6" s="82" t="s">
        <v>29</v>
      </c>
      <c r="C6" s="58" t="s">
        <v>31</v>
      </c>
      <c r="D6" s="32">
        <v>267.76</v>
      </c>
      <c r="E6" s="32"/>
      <c r="F6" s="32"/>
      <c r="G6" s="32">
        <v>387.36</v>
      </c>
      <c r="H6" s="32"/>
      <c r="I6" s="33">
        <v>250</v>
      </c>
      <c r="J6" s="99" t="s">
        <v>271</v>
      </c>
      <c r="K6" s="112">
        <v>3204010046</v>
      </c>
      <c r="L6" s="117"/>
    </row>
    <row r="7" spans="1:12" s="28" customFormat="1" ht="12.75">
      <c r="A7" s="86">
        <v>2</v>
      </c>
      <c r="B7" s="83" t="s">
        <v>33</v>
      </c>
      <c r="C7" s="59" t="s">
        <v>32</v>
      </c>
      <c r="D7" s="37">
        <v>220</v>
      </c>
      <c r="E7" s="37"/>
      <c r="F7" s="37"/>
      <c r="G7" s="37">
        <v>370.88</v>
      </c>
      <c r="H7" s="37"/>
      <c r="I7" s="38">
        <v>250</v>
      </c>
      <c r="J7" s="100" t="s">
        <v>271</v>
      </c>
      <c r="K7" s="113">
        <v>3204009691</v>
      </c>
      <c r="L7" s="118"/>
    </row>
    <row r="8" spans="1:12" s="28" customFormat="1" ht="12.75">
      <c r="A8" s="86">
        <f aca="true" t="shared" si="0" ref="A8:A37">SUM(A7+1)</f>
        <v>3</v>
      </c>
      <c r="B8" s="83" t="s">
        <v>34</v>
      </c>
      <c r="C8" s="59" t="s">
        <v>35</v>
      </c>
      <c r="D8" s="37"/>
      <c r="E8" s="37"/>
      <c r="F8" s="37">
        <v>92.31</v>
      </c>
      <c r="G8" s="37">
        <v>346.96</v>
      </c>
      <c r="H8" s="37"/>
      <c r="I8" s="38">
        <v>807</v>
      </c>
      <c r="J8" s="101" t="s">
        <v>272</v>
      </c>
      <c r="K8" s="113">
        <v>3220485615</v>
      </c>
      <c r="L8" s="118"/>
    </row>
    <row r="9" spans="1:12" s="28" customFormat="1" ht="12.75">
      <c r="A9" s="86">
        <f t="shared" si="0"/>
        <v>4</v>
      </c>
      <c r="B9" s="83" t="s">
        <v>36</v>
      </c>
      <c r="C9" s="59" t="s">
        <v>37</v>
      </c>
      <c r="D9" s="37">
        <v>535.52</v>
      </c>
      <c r="E9" s="37"/>
      <c r="F9" s="37"/>
      <c r="G9" s="37">
        <v>387.36</v>
      </c>
      <c r="H9" s="37"/>
      <c r="I9" s="38">
        <v>250</v>
      </c>
      <c r="J9" s="100" t="s">
        <v>271</v>
      </c>
      <c r="K9" s="113">
        <v>3204010214</v>
      </c>
      <c r="L9" s="118"/>
    </row>
    <row r="10" spans="1:12" s="28" customFormat="1" ht="12.75">
      <c r="A10" s="86">
        <f t="shared" si="0"/>
        <v>5</v>
      </c>
      <c r="B10" s="83" t="s">
        <v>38</v>
      </c>
      <c r="C10" s="59" t="s">
        <v>39</v>
      </c>
      <c r="D10" s="37"/>
      <c r="E10" s="37"/>
      <c r="F10" s="37"/>
      <c r="G10" s="37">
        <v>384.08</v>
      </c>
      <c r="H10" s="37"/>
      <c r="I10" s="38"/>
      <c r="J10" s="100" t="s">
        <v>271</v>
      </c>
      <c r="K10" s="113">
        <v>3204010327</v>
      </c>
      <c r="L10" s="118"/>
    </row>
    <row r="11" spans="1:12" s="28" customFormat="1" ht="12.75">
      <c r="A11" s="86">
        <f t="shared" si="0"/>
        <v>6</v>
      </c>
      <c r="B11" s="83" t="s">
        <v>40</v>
      </c>
      <c r="C11" s="59" t="s">
        <v>41</v>
      </c>
      <c r="D11" s="37"/>
      <c r="E11" s="37"/>
      <c r="F11" s="37"/>
      <c r="G11" s="37"/>
      <c r="H11" s="37">
        <v>728.01</v>
      </c>
      <c r="I11" s="38"/>
      <c r="J11" s="100" t="s">
        <v>271</v>
      </c>
      <c r="K11" s="113">
        <v>3204017738</v>
      </c>
      <c r="L11" s="118"/>
    </row>
    <row r="12" spans="1:12" s="28" customFormat="1" ht="12.75">
      <c r="A12" s="86">
        <f t="shared" si="0"/>
        <v>7</v>
      </c>
      <c r="B12" s="83" t="s">
        <v>42</v>
      </c>
      <c r="C12" s="59" t="s">
        <v>43</v>
      </c>
      <c r="D12" s="37">
        <v>250.56</v>
      </c>
      <c r="E12" s="37"/>
      <c r="F12" s="37"/>
      <c r="G12" s="37">
        <v>392.24</v>
      </c>
      <c r="H12" s="37"/>
      <c r="I12" s="38"/>
      <c r="J12" s="102" t="s">
        <v>271</v>
      </c>
      <c r="K12" s="113">
        <v>3204010476</v>
      </c>
      <c r="L12" s="118"/>
    </row>
    <row r="13" spans="1:12" s="28" customFormat="1" ht="12.75">
      <c r="A13" s="86">
        <f t="shared" si="0"/>
        <v>8</v>
      </c>
      <c r="B13" s="83" t="s">
        <v>44</v>
      </c>
      <c r="C13" s="59" t="s">
        <v>45</v>
      </c>
      <c r="D13" s="37">
        <v>224.6</v>
      </c>
      <c r="E13" s="37">
        <v>513.36</v>
      </c>
      <c r="F13" s="37"/>
      <c r="G13" s="37">
        <v>342.24</v>
      </c>
      <c r="H13" s="37"/>
      <c r="I13" s="38">
        <v>250</v>
      </c>
      <c r="J13" s="102" t="s">
        <v>271</v>
      </c>
      <c r="K13" s="113">
        <v>3204010484</v>
      </c>
      <c r="L13" s="118"/>
    </row>
    <row r="14" spans="1:12" s="28" customFormat="1" ht="12.75">
      <c r="A14" s="86">
        <f t="shared" si="0"/>
        <v>9</v>
      </c>
      <c r="B14" s="83" t="s">
        <v>250</v>
      </c>
      <c r="C14" s="59" t="s">
        <v>46</v>
      </c>
      <c r="D14" s="37"/>
      <c r="E14" s="37"/>
      <c r="F14" s="37"/>
      <c r="G14" s="37">
        <v>334.72</v>
      </c>
      <c r="H14" s="37"/>
      <c r="I14" s="38">
        <v>600</v>
      </c>
      <c r="J14" s="102" t="s">
        <v>271</v>
      </c>
      <c r="K14" s="113">
        <v>3204035547</v>
      </c>
      <c r="L14" s="118"/>
    </row>
    <row r="15" spans="1:12" s="28" customFormat="1" ht="12.75">
      <c r="A15" s="86">
        <f t="shared" si="0"/>
        <v>10</v>
      </c>
      <c r="B15" s="83" t="s">
        <v>47</v>
      </c>
      <c r="C15" s="59" t="s">
        <v>48</v>
      </c>
      <c r="D15" s="37">
        <v>460.76</v>
      </c>
      <c r="E15" s="37"/>
      <c r="F15" s="37"/>
      <c r="G15" s="37">
        <v>333.28</v>
      </c>
      <c r="H15" s="37"/>
      <c r="I15" s="38">
        <v>250</v>
      </c>
      <c r="J15" s="102" t="s">
        <v>271</v>
      </c>
      <c r="K15" s="113">
        <v>3204016384</v>
      </c>
      <c r="L15" s="118"/>
    </row>
    <row r="16" spans="1:12" s="28" customFormat="1" ht="12.75">
      <c r="A16" s="86">
        <f t="shared" si="0"/>
        <v>11</v>
      </c>
      <c r="B16" s="83" t="s">
        <v>49</v>
      </c>
      <c r="C16" s="59" t="s">
        <v>50</v>
      </c>
      <c r="D16" s="37"/>
      <c r="E16" s="37"/>
      <c r="F16" s="37"/>
      <c r="G16" s="37"/>
      <c r="H16" s="37"/>
      <c r="I16" s="38">
        <v>650</v>
      </c>
      <c r="J16" s="102" t="s">
        <v>271</v>
      </c>
      <c r="K16" s="113">
        <v>3203991914</v>
      </c>
      <c r="L16" s="118"/>
    </row>
    <row r="17" spans="1:12" s="28" customFormat="1" ht="12.75">
      <c r="A17" s="86">
        <f t="shared" si="0"/>
        <v>12</v>
      </c>
      <c r="B17" s="83" t="s">
        <v>59</v>
      </c>
      <c r="C17" s="59"/>
      <c r="D17" s="37"/>
      <c r="E17" s="37"/>
      <c r="F17" s="37"/>
      <c r="G17" s="37">
        <v>329.29</v>
      </c>
      <c r="H17" s="37"/>
      <c r="I17" s="38">
        <v>725</v>
      </c>
      <c r="J17" s="102" t="s">
        <v>271</v>
      </c>
      <c r="K17" s="113">
        <v>3212241738</v>
      </c>
      <c r="L17" s="118"/>
    </row>
    <row r="18" spans="1:12" s="28" customFormat="1" ht="12.75">
      <c r="A18" s="86">
        <f t="shared" si="0"/>
        <v>13</v>
      </c>
      <c r="B18" s="83" t="s">
        <v>51</v>
      </c>
      <c r="C18" s="59" t="s">
        <v>52</v>
      </c>
      <c r="D18" s="37"/>
      <c r="E18" s="37"/>
      <c r="F18" s="37"/>
      <c r="G18" s="37">
        <v>324.64</v>
      </c>
      <c r="H18" s="37"/>
      <c r="I18" s="38">
        <v>650</v>
      </c>
      <c r="J18" s="102" t="s">
        <v>273</v>
      </c>
      <c r="K18" s="113">
        <v>3226742777</v>
      </c>
      <c r="L18" s="118"/>
    </row>
    <row r="19" spans="1:12" s="28" customFormat="1" ht="12.75">
      <c r="A19" s="86">
        <f t="shared" si="0"/>
        <v>14</v>
      </c>
      <c r="B19" s="83" t="s">
        <v>251</v>
      </c>
      <c r="C19" s="59" t="s">
        <v>53</v>
      </c>
      <c r="D19" s="37"/>
      <c r="E19" s="37"/>
      <c r="F19" s="37"/>
      <c r="G19" s="37">
        <v>310.96</v>
      </c>
      <c r="H19" s="37"/>
      <c r="I19" s="38">
        <v>650</v>
      </c>
      <c r="J19" s="102" t="s">
        <v>274</v>
      </c>
      <c r="K19" s="113">
        <v>3201084947</v>
      </c>
      <c r="L19" s="118"/>
    </row>
    <row r="20" spans="1:12" s="28" customFormat="1" ht="12.75">
      <c r="A20" s="86">
        <f t="shared" si="0"/>
        <v>15</v>
      </c>
      <c r="B20" s="83" t="s">
        <v>54</v>
      </c>
      <c r="C20" s="59" t="s">
        <v>55</v>
      </c>
      <c r="D20" s="37">
        <v>204.65</v>
      </c>
      <c r="E20" s="37"/>
      <c r="F20" s="37"/>
      <c r="G20" s="37">
        <v>320.4</v>
      </c>
      <c r="H20" s="37"/>
      <c r="I20" s="38">
        <v>600</v>
      </c>
      <c r="J20" s="102" t="s">
        <v>271</v>
      </c>
      <c r="K20" s="113">
        <v>3207503041</v>
      </c>
      <c r="L20" s="118"/>
    </row>
    <row r="21" spans="1:12" s="28" customFormat="1" ht="12.75">
      <c r="A21" s="86">
        <f t="shared" si="0"/>
        <v>16</v>
      </c>
      <c r="B21" s="83" t="s">
        <v>56</v>
      </c>
      <c r="C21" s="59" t="s">
        <v>57</v>
      </c>
      <c r="D21" s="37"/>
      <c r="E21" s="37"/>
      <c r="F21" s="37"/>
      <c r="G21" s="37"/>
      <c r="H21" s="37">
        <v>846.02</v>
      </c>
      <c r="I21" s="38"/>
      <c r="J21" s="102" t="s">
        <v>271</v>
      </c>
      <c r="K21" s="113">
        <v>3204074301</v>
      </c>
      <c r="L21" s="118"/>
    </row>
    <row r="22" spans="1:12" s="28" customFormat="1" ht="12.75">
      <c r="A22" s="86">
        <f t="shared" si="0"/>
        <v>17</v>
      </c>
      <c r="B22" s="83" t="s">
        <v>102</v>
      </c>
      <c r="C22" s="59" t="s">
        <v>103</v>
      </c>
      <c r="D22" s="37">
        <v>176.51</v>
      </c>
      <c r="E22" s="37"/>
      <c r="F22" s="37"/>
      <c r="G22" s="37">
        <v>315.2</v>
      </c>
      <c r="H22" s="37"/>
      <c r="I22" s="38">
        <v>250</v>
      </c>
      <c r="J22" s="102" t="s">
        <v>275</v>
      </c>
      <c r="K22" s="113">
        <v>3223516627</v>
      </c>
      <c r="L22" s="118"/>
    </row>
    <row r="23" spans="1:12" s="28" customFormat="1" ht="12.75">
      <c r="A23" s="86">
        <f t="shared" si="0"/>
        <v>18</v>
      </c>
      <c r="B23" s="83" t="s">
        <v>252</v>
      </c>
      <c r="C23" s="59" t="s">
        <v>62</v>
      </c>
      <c r="D23" s="37"/>
      <c r="E23" s="37"/>
      <c r="F23" s="37"/>
      <c r="G23" s="37"/>
      <c r="H23" s="37">
        <v>1008.48</v>
      </c>
      <c r="I23" s="38">
        <v>810</v>
      </c>
      <c r="J23" s="102" t="s">
        <v>271</v>
      </c>
      <c r="K23" s="113">
        <v>3209826266</v>
      </c>
      <c r="L23" s="118"/>
    </row>
    <row r="24" spans="1:12" s="28" customFormat="1" ht="12.75">
      <c r="A24" s="86">
        <f t="shared" si="0"/>
        <v>19</v>
      </c>
      <c r="B24" s="83" t="s">
        <v>64</v>
      </c>
      <c r="C24" s="59" t="s">
        <v>65</v>
      </c>
      <c r="D24" s="37"/>
      <c r="E24" s="37"/>
      <c r="F24" s="37"/>
      <c r="G24" s="37">
        <v>307.44</v>
      </c>
      <c r="H24" s="37"/>
      <c r="I24" s="38">
        <v>600</v>
      </c>
      <c r="J24" s="102" t="s">
        <v>271</v>
      </c>
      <c r="K24" s="113">
        <v>3206487143</v>
      </c>
      <c r="L24" s="118"/>
    </row>
    <row r="25" spans="1:12" s="28" customFormat="1" ht="12.75">
      <c r="A25" s="86">
        <f t="shared" si="0"/>
        <v>20</v>
      </c>
      <c r="B25" s="83" t="s">
        <v>67</v>
      </c>
      <c r="C25" s="59" t="s">
        <v>68</v>
      </c>
      <c r="D25" s="37"/>
      <c r="E25" s="37"/>
      <c r="F25" s="37"/>
      <c r="G25" s="37">
        <v>307.44</v>
      </c>
      <c r="H25" s="37">
        <v>668.75</v>
      </c>
      <c r="I25" s="38">
        <v>830</v>
      </c>
      <c r="J25" s="102" t="s">
        <v>276</v>
      </c>
      <c r="K25" s="113">
        <v>3251666018</v>
      </c>
      <c r="L25" s="118"/>
    </row>
    <row r="26" spans="1:12" s="28" customFormat="1" ht="12.75">
      <c r="A26" s="86">
        <f t="shared" si="0"/>
        <v>21</v>
      </c>
      <c r="B26" s="83" t="s">
        <v>70</v>
      </c>
      <c r="C26" s="59" t="s">
        <v>71</v>
      </c>
      <c r="D26" s="37"/>
      <c r="E26" s="37"/>
      <c r="F26" s="37"/>
      <c r="G26" s="37">
        <v>309.12</v>
      </c>
      <c r="H26" s="37"/>
      <c r="I26" s="38">
        <v>650</v>
      </c>
      <c r="J26" s="102" t="s">
        <v>271</v>
      </c>
      <c r="K26" s="113">
        <v>3209339880</v>
      </c>
      <c r="L26" s="118"/>
    </row>
    <row r="27" spans="1:12" s="28" customFormat="1" ht="12.75">
      <c r="A27" s="86">
        <f t="shared" si="0"/>
        <v>22</v>
      </c>
      <c r="B27" s="83" t="s">
        <v>73</v>
      </c>
      <c r="C27" s="59" t="s">
        <v>74</v>
      </c>
      <c r="D27" s="37">
        <v>199.97</v>
      </c>
      <c r="E27" s="37"/>
      <c r="F27" s="37"/>
      <c r="G27" s="37">
        <v>387.36</v>
      </c>
      <c r="H27" s="37"/>
      <c r="I27" s="38">
        <v>768</v>
      </c>
      <c r="J27" s="102" t="s">
        <v>271</v>
      </c>
      <c r="K27" s="113">
        <v>3204051514</v>
      </c>
      <c r="L27" s="118"/>
    </row>
    <row r="28" spans="1:12" s="28" customFormat="1" ht="12.75">
      <c r="A28" s="86">
        <f t="shared" si="0"/>
        <v>23</v>
      </c>
      <c r="B28" s="83" t="s">
        <v>239</v>
      </c>
      <c r="C28" s="59" t="s">
        <v>76</v>
      </c>
      <c r="D28" s="37">
        <v>653.83</v>
      </c>
      <c r="E28" s="37"/>
      <c r="F28" s="37"/>
      <c r="G28" s="37">
        <v>369.92</v>
      </c>
      <c r="H28" s="37"/>
      <c r="I28" s="38">
        <v>250</v>
      </c>
      <c r="J28" s="102" t="s">
        <v>271</v>
      </c>
      <c r="K28" s="113">
        <v>3204010298</v>
      </c>
      <c r="L28" s="118"/>
    </row>
    <row r="29" spans="1:12" s="28" customFormat="1" ht="12.75">
      <c r="A29" s="86">
        <f t="shared" si="0"/>
        <v>24</v>
      </c>
      <c r="B29" s="83" t="s">
        <v>78</v>
      </c>
      <c r="C29" s="59" t="s">
        <v>79</v>
      </c>
      <c r="D29" s="37">
        <v>374.9</v>
      </c>
      <c r="E29" s="37"/>
      <c r="F29" s="37"/>
      <c r="G29" s="37">
        <v>396.72</v>
      </c>
      <c r="H29" s="37"/>
      <c r="I29" s="38"/>
      <c r="J29" s="102" t="s">
        <v>271</v>
      </c>
      <c r="K29" s="113">
        <v>3214138674</v>
      </c>
      <c r="L29" s="118"/>
    </row>
    <row r="30" spans="1:12" s="28" customFormat="1" ht="12.75">
      <c r="A30" s="86">
        <f t="shared" si="0"/>
        <v>25</v>
      </c>
      <c r="B30" s="83" t="s">
        <v>81</v>
      </c>
      <c r="C30" s="59" t="s">
        <v>82</v>
      </c>
      <c r="D30" s="37"/>
      <c r="E30" s="37"/>
      <c r="F30" s="37"/>
      <c r="G30" s="37">
        <v>366.64</v>
      </c>
      <c r="H30" s="37"/>
      <c r="I30" s="38"/>
      <c r="J30" s="102" t="s">
        <v>274</v>
      </c>
      <c r="K30" s="113">
        <v>3201085021</v>
      </c>
      <c r="L30" s="118"/>
    </row>
    <row r="31" spans="1:12" s="28" customFormat="1" ht="12.75">
      <c r="A31" s="86">
        <f t="shared" si="0"/>
        <v>26</v>
      </c>
      <c r="B31" s="83" t="s">
        <v>84</v>
      </c>
      <c r="C31" s="59" t="s">
        <v>85</v>
      </c>
      <c r="D31" s="37"/>
      <c r="E31" s="37"/>
      <c r="F31" s="37"/>
      <c r="G31" s="37">
        <v>306.08</v>
      </c>
      <c r="H31" s="37"/>
      <c r="I31" s="38">
        <v>250</v>
      </c>
      <c r="J31" s="102" t="s">
        <v>276</v>
      </c>
      <c r="K31" s="113">
        <v>3251589993</v>
      </c>
      <c r="L31" s="118"/>
    </row>
    <row r="32" spans="1:12" s="28" customFormat="1" ht="12.75">
      <c r="A32" s="86">
        <f t="shared" si="0"/>
        <v>27</v>
      </c>
      <c r="B32" s="83" t="s">
        <v>87</v>
      </c>
      <c r="C32" s="59" t="s">
        <v>88</v>
      </c>
      <c r="D32" s="37">
        <v>107.99</v>
      </c>
      <c r="E32" s="37"/>
      <c r="F32" s="37"/>
      <c r="G32" s="37">
        <v>385.68</v>
      </c>
      <c r="H32" s="37"/>
      <c r="I32" s="38"/>
      <c r="J32" s="102" t="s">
        <v>274</v>
      </c>
      <c r="K32" s="113">
        <v>3201084963</v>
      </c>
      <c r="L32" s="118"/>
    </row>
    <row r="33" spans="1:12" s="28" customFormat="1" ht="12.75">
      <c r="A33" s="86">
        <f t="shared" si="0"/>
        <v>28</v>
      </c>
      <c r="B33" s="83" t="s">
        <v>90</v>
      </c>
      <c r="C33" s="59" t="s">
        <v>91</v>
      </c>
      <c r="D33" s="37">
        <v>601.59</v>
      </c>
      <c r="E33" s="37">
        <v>585.96</v>
      </c>
      <c r="F33" s="37"/>
      <c r="G33" s="37">
        <v>366.64</v>
      </c>
      <c r="H33" s="37"/>
      <c r="I33" s="38"/>
      <c r="J33" s="102" t="s">
        <v>271</v>
      </c>
      <c r="K33" s="113">
        <v>3207034652</v>
      </c>
      <c r="L33" s="118"/>
    </row>
    <row r="34" spans="1:12" s="28" customFormat="1" ht="12.75">
      <c r="A34" s="86">
        <f t="shared" si="0"/>
        <v>29</v>
      </c>
      <c r="B34" s="83" t="s">
        <v>94</v>
      </c>
      <c r="C34" s="59" t="s">
        <v>95</v>
      </c>
      <c r="D34" s="37">
        <v>405.21</v>
      </c>
      <c r="E34" s="37"/>
      <c r="F34" s="37"/>
      <c r="G34" s="37">
        <v>385.92</v>
      </c>
      <c r="H34" s="37"/>
      <c r="I34" s="38">
        <v>250</v>
      </c>
      <c r="J34" s="102" t="s">
        <v>271</v>
      </c>
      <c r="K34" s="113">
        <v>3203938809</v>
      </c>
      <c r="L34" s="118"/>
    </row>
    <row r="35" spans="1:12" s="28" customFormat="1" ht="12.75">
      <c r="A35" s="86">
        <f t="shared" si="0"/>
        <v>30</v>
      </c>
      <c r="B35" s="129" t="s">
        <v>253</v>
      </c>
      <c r="C35" s="59" t="s">
        <v>97</v>
      </c>
      <c r="D35" s="37">
        <v>238.7</v>
      </c>
      <c r="E35" s="37"/>
      <c r="F35" s="37"/>
      <c r="G35" s="37">
        <v>364.8</v>
      </c>
      <c r="H35" s="37"/>
      <c r="I35" s="38"/>
      <c r="J35" s="102" t="s">
        <v>274</v>
      </c>
      <c r="K35" s="113">
        <v>3201085064</v>
      </c>
      <c r="L35" s="118"/>
    </row>
    <row r="36" spans="1:12" s="28" customFormat="1" ht="12.75">
      <c r="A36" s="86">
        <f t="shared" si="0"/>
        <v>31</v>
      </c>
      <c r="B36" s="129" t="s">
        <v>99</v>
      </c>
      <c r="C36" s="59" t="s">
        <v>100</v>
      </c>
      <c r="D36" s="37">
        <v>398.95</v>
      </c>
      <c r="E36" s="37"/>
      <c r="F36" s="37"/>
      <c r="G36" s="37">
        <v>315.2</v>
      </c>
      <c r="H36" s="37"/>
      <c r="I36" s="38">
        <v>250</v>
      </c>
      <c r="J36" s="102" t="s">
        <v>275</v>
      </c>
      <c r="K36" s="113">
        <v>3238905542</v>
      </c>
      <c r="L36" s="118"/>
    </row>
    <row r="37" spans="1:12" s="28" customFormat="1" ht="13.5" thickBot="1">
      <c r="A37" s="96">
        <f t="shared" si="0"/>
        <v>32</v>
      </c>
      <c r="B37" s="81" t="s">
        <v>105</v>
      </c>
      <c r="C37" s="64" t="s">
        <v>106</v>
      </c>
      <c r="D37" s="56"/>
      <c r="E37" s="56"/>
      <c r="F37" s="56"/>
      <c r="G37" s="56">
        <v>304.4</v>
      </c>
      <c r="H37" s="56"/>
      <c r="I37" s="125">
        <v>867</v>
      </c>
      <c r="J37" s="126" t="s">
        <v>275</v>
      </c>
      <c r="K37" s="127">
        <v>3223350187</v>
      </c>
      <c r="L37" s="128"/>
    </row>
    <row r="38" spans="1:12" s="28" customFormat="1" ht="12.75">
      <c r="A38" s="70"/>
      <c r="B38" s="71"/>
      <c r="C38" s="72"/>
      <c r="D38" s="73"/>
      <c r="E38" s="73"/>
      <c r="F38" s="73"/>
      <c r="G38" s="73"/>
      <c r="H38" s="73"/>
      <c r="I38" s="73"/>
      <c r="J38" s="104"/>
      <c r="K38" s="115"/>
      <c r="L38" s="116"/>
    </row>
    <row r="39" spans="1:12" s="28" customFormat="1" ht="12.75">
      <c r="A39" s="70"/>
      <c r="B39" s="71"/>
      <c r="C39" s="72"/>
      <c r="D39" s="73"/>
      <c r="E39" s="73"/>
      <c r="F39" s="73"/>
      <c r="G39" s="73"/>
      <c r="H39" s="73"/>
      <c r="I39" s="73"/>
      <c r="J39" s="104"/>
      <c r="K39" s="115"/>
      <c r="L39" s="116"/>
    </row>
    <row r="40" spans="1:12" s="28" customFormat="1" ht="12.75">
      <c r="A40" s="70"/>
      <c r="B40" s="71"/>
      <c r="C40" s="72"/>
      <c r="D40" s="73"/>
      <c r="E40" s="73"/>
      <c r="F40" s="73"/>
      <c r="G40" s="73"/>
      <c r="H40" s="73"/>
      <c r="I40" s="73"/>
      <c r="J40" s="104"/>
      <c r="K40" s="115"/>
      <c r="L40" s="116"/>
    </row>
    <row r="41" spans="1:12" s="28" customFormat="1" ht="12.75">
      <c r="A41" s="70"/>
      <c r="B41" s="71"/>
      <c r="C41" s="72"/>
      <c r="D41" s="73"/>
      <c r="E41" s="73"/>
      <c r="F41" s="73"/>
      <c r="G41" s="73"/>
      <c r="H41" s="73"/>
      <c r="I41" s="73"/>
      <c r="J41" s="104"/>
      <c r="K41" s="115"/>
      <c r="L41" s="116"/>
    </row>
    <row r="42" spans="1:12" s="28" customFormat="1" ht="12.75">
      <c r="A42" s="70"/>
      <c r="B42" s="71"/>
      <c r="C42" s="72"/>
      <c r="D42" s="73"/>
      <c r="E42" s="73"/>
      <c r="F42" s="73"/>
      <c r="G42" s="73"/>
      <c r="H42" s="73"/>
      <c r="I42" s="73"/>
      <c r="J42" s="104"/>
      <c r="K42" s="115"/>
      <c r="L42" s="116"/>
    </row>
    <row r="43" spans="1:12" s="28" customFormat="1" ht="12.75">
      <c r="A43" s="70"/>
      <c r="B43" s="71"/>
      <c r="C43" s="72"/>
      <c r="D43" s="73"/>
      <c r="E43" s="73"/>
      <c r="F43" s="73"/>
      <c r="G43" s="73"/>
      <c r="H43" s="73"/>
      <c r="I43" s="73"/>
      <c r="J43" s="104"/>
      <c r="K43" s="115"/>
      <c r="L43" s="116"/>
    </row>
    <row r="44" spans="1:12" s="28" customFormat="1" ht="12.75">
      <c r="A44" s="70"/>
      <c r="B44" s="71"/>
      <c r="C44" s="72"/>
      <c r="D44" s="73"/>
      <c r="E44" s="73"/>
      <c r="F44" s="73"/>
      <c r="G44" s="73"/>
      <c r="H44" s="73"/>
      <c r="I44" s="73"/>
      <c r="J44" s="104"/>
      <c r="K44" s="115"/>
      <c r="L44" s="116"/>
    </row>
    <row r="45" spans="1:12" s="28" customFormat="1" ht="12.75">
      <c r="A45" s="70"/>
      <c r="B45" s="71"/>
      <c r="C45" s="72"/>
      <c r="D45" s="73"/>
      <c r="E45" s="73"/>
      <c r="F45" s="73"/>
      <c r="G45" s="73"/>
      <c r="H45" s="73"/>
      <c r="I45" s="73"/>
      <c r="J45" s="104"/>
      <c r="K45" s="115"/>
      <c r="L45" s="116"/>
    </row>
    <row r="46" spans="1:12" s="28" customFormat="1" ht="12.75">
      <c r="A46" s="70"/>
      <c r="B46" s="71"/>
      <c r="C46" s="72"/>
      <c r="D46" s="73"/>
      <c r="E46" s="73"/>
      <c r="F46" s="73"/>
      <c r="G46" s="73"/>
      <c r="H46" s="73"/>
      <c r="I46" s="73"/>
      <c r="J46" s="104"/>
      <c r="K46" s="115"/>
      <c r="L46" s="116"/>
    </row>
    <row r="47" spans="1:12" s="28" customFormat="1" ht="12.75">
      <c r="A47" s="70"/>
      <c r="B47" s="71"/>
      <c r="C47" s="72"/>
      <c r="D47" s="73"/>
      <c r="E47" s="73"/>
      <c r="F47" s="73"/>
      <c r="G47" s="73"/>
      <c r="H47" s="73"/>
      <c r="I47" s="73"/>
      <c r="J47" s="104"/>
      <c r="K47" s="115"/>
      <c r="L47" s="116"/>
    </row>
    <row r="48" spans="1:12" s="28" customFormat="1" ht="12.75">
      <c r="A48" s="70"/>
      <c r="B48" s="71"/>
      <c r="C48" s="72"/>
      <c r="D48" s="73"/>
      <c r="E48" s="73"/>
      <c r="F48" s="73"/>
      <c r="G48" s="73"/>
      <c r="H48" s="73"/>
      <c r="I48" s="73"/>
      <c r="J48" s="104"/>
      <c r="K48" s="115"/>
      <c r="L48" s="116"/>
    </row>
    <row r="49" spans="10:12" s="28" customFormat="1" ht="13.5" thickBot="1">
      <c r="J49" s="105"/>
      <c r="K49" s="116"/>
      <c r="L49" s="116"/>
    </row>
    <row r="50" spans="1:12" s="28" customFormat="1" ht="21.75" customHeight="1" thickBot="1">
      <c r="A50" s="95" t="s">
        <v>256</v>
      </c>
      <c r="B50" s="57" t="s">
        <v>17</v>
      </c>
      <c r="C50" s="54" t="s">
        <v>254</v>
      </c>
      <c r="D50" s="68" t="s">
        <v>259</v>
      </c>
      <c r="E50" s="68" t="s">
        <v>260</v>
      </c>
      <c r="F50" s="68" t="s">
        <v>261</v>
      </c>
      <c r="G50" s="68" t="s">
        <v>262</v>
      </c>
      <c r="H50" s="68" t="s">
        <v>263</v>
      </c>
      <c r="I50" s="69" t="s">
        <v>264</v>
      </c>
      <c r="J50" s="75" t="s">
        <v>270</v>
      </c>
      <c r="K50" s="111" t="s">
        <v>280</v>
      </c>
      <c r="L50" s="111"/>
    </row>
    <row r="51" spans="1:12" s="28" customFormat="1" ht="12.75">
      <c r="A51" s="90">
        <v>33</v>
      </c>
      <c r="B51" s="121" t="s">
        <v>108</v>
      </c>
      <c r="C51" s="122" t="s">
        <v>109</v>
      </c>
      <c r="D51" s="123"/>
      <c r="E51" s="123">
        <v>465.84</v>
      </c>
      <c r="F51" s="123"/>
      <c r="G51" s="123">
        <v>310.56</v>
      </c>
      <c r="H51" s="123"/>
      <c r="I51" s="124">
        <v>987</v>
      </c>
      <c r="J51" s="106" t="s">
        <v>274</v>
      </c>
      <c r="K51" s="117">
        <v>3201113074</v>
      </c>
      <c r="L51" s="117"/>
    </row>
    <row r="52" spans="1:12" s="28" customFormat="1" ht="12.75">
      <c r="A52" s="86">
        <f aca="true" t="shared" si="1" ref="A52:A85">SUM(A51+1)</f>
        <v>34</v>
      </c>
      <c r="B52" s="82" t="s">
        <v>111</v>
      </c>
      <c r="C52" s="58" t="s">
        <v>112</v>
      </c>
      <c r="D52" s="32">
        <v>355.48</v>
      </c>
      <c r="E52" s="32"/>
      <c r="F52" s="32"/>
      <c r="G52" s="32">
        <v>366.64</v>
      </c>
      <c r="H52" s="32"/>
      <c r="I52" s="33">
        <v>250</v>
      </c>
      <c r="J52" s="102" t="s">
        <v>271</v>
      </c>
      <c r="K52" s="118">
        <v>3204010417</v>
      </c>
      <c r="L52" s="118"/>
    </row>
    <row r="53" spans="1:12" s="28" customFormat="1" ht="12.75">
      <c r="A53" s="86">
        <f t="shared" si="1"/>
        <v>35</v>
      </c>
      <c r="B53" s="83" t="s">
        <v>114</v>
      </c>
      <c r="C53" s="59" t="s">
        <v>115</v>
      </c>
      <c r="D53" s="37">
        <v>333.2</v>
      </c>
      <c r="E53" s="37"/>
      <c r="F53" s="37"/>
      <c r="G53" s="37">
        <v>366.16</v>
      </c>
      <c r="H53" s="37"/>
      <c r="I53" s="38"/>
      <c r="J53" s="102" t="s">
        <v>271</v>
      </c>
      <c r="K53" s="118">
        <v>3204021743</v>
      </c>
      <c r="L53" s="118"/>
    </row>
    <row r="54" spans="1:12" s="28" customFormat="1" ht="12.75">
      <c r="A54" s="86">
        <f t="shared" si="1"/>
        <v>36</v>
      </c>
      <c r="B54" s="83" t="s">
        <v>117</v>
      </c>
      <c r="C54" s="59" t="s">
        <v>118</v>
      </c>
      <c r="D54" s="37">
        <v>364.87</v>
      </c>
      <c r="E54" s="37"/>
      <c r="F54" s="37">
        <v>1380.26</v>
      </c>
      <c r="G54" s="37">
        <v>372.32</v>
      </c>
      <c r="H54" s="37"/>
      <c r="I54" s="38">
        <v>1316</v>
      </c>
      <c r="J54" s="102" t="s">
        <v>274</v>
      </c>
      <c r="K54" s="118">
        <v>3201085072</v>
      </c>
      <c r="L54" s="118"/>
    </row>
    <row r="55" spans="1:12" s="28" customFormat="1" ht="12.75">
      <c r="A55" s="86">
        <f t="shared" si="1"/>
        <v>37</v>
      </c>
      <c r="B55" s="83" t="s">
        <v>120</v>
      </c>
      <c r="C55" s="59" t="s">
        <v>121</v>
      </c>
      <c r="D55" s="37">
        <v>178.51</v>
      </c>
      <c r="E55" s="37"/>
      <c r="F55" s="37"/>
      <c r="G55" s="37">
        <v>309.12</v>
      </c>
      <c r="H55" s="37"/>
      <c r="I55" s="38">
        <v>250</v>
      </c>
      <c r="J55" s="102" t="s">
        <v>271</v>
      </c>
      <c r="K55" s="118">
        <v>3201227584</v>
      </c>
      <c r="L55" s="118"/>
    </row>
    <row r="56" spans="1:12" s="28" customFormat="1" ht="12.75">
      <c r="A56" s="86">
        <f t="shared" si="1"/>
        <v>38</v>
      </c>
      <c r="B56" s="83" t="s">
        <v>123</v>
      </c>
      <c r="C56" s="59" t="s">
        <v>124</v>
      </c>
      <c r="D56" s="37">
        <v>104.56</v>
      </c>
      <c r="E56" s="37"/>
      <c r="F56" s="37"/>
      <c r="G56" s="37">
        <v>217.84</v>
      </c>
      <c r="H56" s="37"/>
      <c r="I56" s="38"/>
      <c r="J56" s="102" t="s">
        <v>271</v>
      </c>
      <c r="K56" s="118">
        <v>3213573925</v>
      </c>
      <c r="L56" s="118"/>
    </row>
    <row r="57" spans="1:12" s="28" customFormat="1" ht="12.75">
      <c r="A57" s="86">
        <f t="shared" si="1"/>
        <v>39</v>
      </c>
      <c r="B57" s="83" t="s">
        <v>126</v>
      </c>
      <c r="C57" s="59" t="s">
        <v>127</v>
      </c>
      <c r="D57" s="37">
        <v>537.72</v>
      </c>
      <c r="E57" s="37">
        <v>288.06</v>
      </c>
      <c r="F57" s="37">
        <v>71.19</v>
      </c>
      <c r="G57" s="37">
        <v>384.08</v>
      </c>
      <c r="H57" s="37"/>
      <c r="I57" s="38">
        <v>250</v>
      </c>
      <c r="J57" s="102" t="s">
        <v>271</v>
      </c>
      <c r="K57" s="118">
        <v>3206953335</v>
      </c>
      <c r="L57" s="118"/>
    </row>
    <row r="58" spans="1:12" s="28" customFormat="1" ht="12.75">
      <c r="A58" s="86">
        <f t="shared" si="1"/>
        <v>40</v>
      </c>
      <c r="B58" s="83" t="s">
        <v>129</v>
      </c>
      <c r="C58" s="59" t="s">
        <v>130</v>
      </c>
      <c r="D58" s="37">
        <v>534.78</v>
      </c>
      <c r="E58" s="37">
        <v>774.3</v>
      </c>
      <c r="F58" s="37"/>
      <c r="G58" s="37">
        <v>412.96</v>
      </c>
      <c r="H58" s="37"/>
      <c r="I58" s="38">
        <v>250</v>
      </c>
      <c r="J58" s="102" t="s">
        <v>274</v>
      </c>
      <c r="K58" s="118">
        <v>3201085013</v>
      </c>
      <c r="L58" s="118"/>
    </row>
    <row r="59" spans="1:12" s="28" customFormat="1" ht="12.75">
      <c r="A59" s="86">
        <f t="shared" si="1"/>
        <v>41</v>
      </c>
      <c r="B59" s="83" t="s">
        <v>132</v>
      </c>
      <c r="C59" s="59" t="s">
        <v>133</v>
      </c>
      <c r="D59" s="37"/>
      <c r="E59" s="37"/>
      <c r="F59" s="37"/>
      <c r="G59" s="37">
        <v>366.64</v>
      </c>
      <c r="H59" s="37"/>
      <c r="I59" s="38">
        <v>810</v>
      </c>
      <c r="J59" s="102" t="s">
        <v>271</v>
      </c>
      <c r="K59" s="118">
        <v>3204010409</v>
      </c>
      <c r="L59" s="118"/>
    </row>
    <row r="60" spans="1:12" s="28" customFormat="1" ht="12.75">
      <c r="A60" s="86">
        <f t="shared" si="1"/>
        <v>42</v>
      </c>
      <c r="B60" s="83" t="s">
        <v>135</v>
      </c>
      <c r="C60" s="59" t="s">
        <v>136</v>
      </c>
      <c r="D60" s="37"/>
      <c r="E60" s="37"/>
      <c r="F60" s="37">
        <v>122.61</v>
      </c>
      <c r="G60" s="37">
        <v>330.72</v>
      </c>
      <c r="H60" s="37"/>
      <c r="I60" s="38">
        <v>250</v>
      </c>
      <c r="J60" s="102" t="s">
        <v>271</v>
      </c>
      <c r="K60" s="118">
        <v>3206725631</v>
      </c>
      <c r="L60" s="118"/>
    </row>
    <row r="61" spans="1:12" s="28" customFormat="1" ht="12.75">
      <c r="A61" s="86">
        <f t="shared" si="1"/>
        <v>43</v>
      </c>
      <c r="B61" s="83" t="s">
        <v>138</v>
      </c>
      <c r="C61" s="59" t="s">
        <v>139</v>
      </c>
      <c r="D61" s="37"/>
      <c r="E61" s="37"/>
      <c r="F61" s="37"/>
      <c r="G61" s="37">
        <v>361.76</v>
      </c>
      <c r="H61" s="37"/>
      <c r="I61" s="38">
        <v>250</v>
      </c>
      <c r="J61" s="102" t="s">
        <v>271</v>
      </c>
      <c r="K61" s="118">
        <v>3204015058</v>
      </c>
      <c r="L61" s="118"/>
    </row>
    <row r="62" spans="1:12" s="28" customFormat="1" ht="12.75">
      <c r="A62" s="86">
        <f t="shared" si="1"/>
        <v>44</v>
      </c>
      <c r="B62" s="83" t="s">
        <v>141</v>
      </c>
      <c r="C62" s="59" t="s">
        <v>142</v>
      </c>
      <c r="D62" s="37"/>
      <c r="E62" s="37"/>
      <c r="F62" s="37"/>
      <c r="G62" s="37">
        <v>316.64</v>
      </c>
      <c r="H62" s="37"/>
      <c r="I62" s="38">
        <v>830</v>
      </c>
      <c r="J62" s="102" t="s">
        <v>271</v>
      </c>
      <c r="K62" s="118">
        <v>3202927758</v>
      </c>
      <c r="L62" s="118"/>
    </row>
    <row r="63" spans="1:12" s="28" customFormat="1" ht="12.75">
      <c r="A63" s="86">
        <f t="shared" si="1"/>
        <v>45</v>
      </c>
      <c r="B63" s="83" t="s">
        <v>145</v>
      </c>
      <c r="C63" s="59" t="s">
        <v>146</v>
      </c>
      <c r="D63" s="37"/>
      <c r="E63" s="37"/>
      <c r="F63" s="37"/>
      <c r="G63" s="37">
        <v>365.04</v>
      </c>
      <c r="H63" s="37"/>
      <c r="I63" s="38">
        <v>250</v>
      </c>
      <c r="J63" s="102" t="s">
        <v>271</v>
      </c>
      <c r="K63" s="118">
        <v>3203992312</v>
      </c>
      <c r="L63" s="118"/>
    </row>
    <row r="64" spans="1:12" s="28" customFormat="1" ht="12.75">
      <c r="A64" s="86">
        <f t="shared" si="1"/>
        <v>46</v>
      </c>
      <c r="B64" s="83" t="s">
        <v>148</v>
      </c>
      <c r="C64" s="59" t="s">
        <v>149</v>
      </c>
      <c r="D64" s="37">
        <v>82.32</v>
      </c>
      <c r="E64" s="37"/>
      <c r="F64" s="37"/>
      <c r="G64" s="37">
        <v>313.6</v>
      </c>
      <c r="H64" s="37"/>
      <c r="I64" s="38">
        <v>877</v>
      </c>
      <c r="J64" s="102" t="s">
        <v>277</v>
      </c>
      <c r="K64" s="118">
        <v>3206045226</v>
      </c>
      <c r="L64" s="118"/>
    </row>
    <row r="65" spans="1:12" s="28" customFormat="1" ht="12.75">
      <c r="A65" s="86">
        <f t="shared" si="1"/>
        <v>47</v>
      </c>
      <c r="B65" s="83" t="s">
        <v>151</v>
      </c>
      <c r="C65" s="59" t="s">
        <v>152</v>
      </c>
      <c r="D65" s="37"/>
      <c r="E65" s="37"/>
      <c r="F65" s="37"/>
      <c r="G65" s="37">
        <v>312.16</v>
      </c>
      <c r="H65" s="37"/>
      <c r="I65" s="38">
        <v>600</v>
      </c>
      <c r="J65" s="102" t="s">
        <v>273</v>
      </c>
      <c r="K65" s="118">
        <v>3234063231</v>
      </c>
      <c r="L65" s="118"/>
    </row>
    <row r="66" spans="1:12" s="28" customFormat="1" ht="12.75">
      <c r="A66" s="86">
        <f t="shared" si="1"/>
        <v>48</v>
      </c>
      <c r="B66" s="83" t="s">
        <v>154</v>
      </c>
      <c r="C66" s="59" t="s">
        <v>155</v>
      </c>
      <c r="D66" s="37"/>
      <c r="E66" s="37"/>
      <c r="F66" s="37"/>
      <c r="G66" s="37">
        <v>316.64</v>
      </c>
      <c r="H66" s="37"/>
      <c r="I66" s="38">
        <v>810</v>
      </c>
      <c r="J66" s="102" t="s">
        <v>271</v>
      </c>
      <c r="K66" s="118">
        <v>3204198345</v>
      </c>
      <c r="L66" s="118"/>
    </row>
    <row r="67" spans="1:12" s="28" customFormat="1" ht="12.75">
      <c r="A67" s="86">
        <f t="shared" si="1"/>
        <v>49</v>
      </c>
      <c r="B67" s="83" t="s">
        <v>269</v>
      </c>
      <c r="C67" s="59" t="s">
        <v>281</v>
      </c>
      <c r="D67" s="37"/>
      <c r="E67" s="37"/>
      <c r="F67" s="37"/>
      <c r="G67" s="37"/>
      <c r="H67" s="37"/>
      <c r="I67" s="38"/>
      <c r="J67" s="102" t="s">
        <v>271</v>
      </c>
      <c r="K67" s="118">
        <v>3204133135</v>
      </c>
      <c r="L67" s="118"/>
    </row>
    <row r="68" spans="1:12" s="28" customFormat="1" ht="12.75">
      <c r="A68" s="86">
        <f t="shared" si="1"/>
        <v>50</v>
      </c>
      <c r="B68" s="83" t="s">
        <v>158</v>
      </c>
      <c r="C68" s="59" t="s">
        <v>159</v>
      </c>
      <c r="D68" s="37"/>
      <c r="E68" s="37"/>
      <c r="F68" s="37"/>
      <c r="G68" s="37">
        <v>361.76</v>
      </c>
      <c r="H68" s="37"/>
      <c r="I68" s="38">
        <v>810</v>
      </c>
      <c r="J68" s="102" t="s">
        <v>273</v>
      </c>
      <c r="K68" s="118">
        <v>3234621398</v>
      </c>
      <c r="L68" s="118"/>
    </row>
    <row r="69" spans="1:12" s="28" customFormat="1" ht="12.75">
      <c r="A69" s="86">
        <f t="shared" si="1"/>
        <v>51</v>
      </c>
      <c r="B69" s="83" t="s">
        <v>162</v>
      </c>
      <c r="C69" s="59" t="s">
        <v>163</v>
      </c>
      <c r="D69" s="37"/>
      <c r="E69" s="37"/>
      <c r="F69" s="37"/>
      <c r="G69" s="37">
        <v>122.43</v>
      </c>
      <c r="H69" s="37"/>
      <c r="I69" s="38">
        <v>600</v>
      </c>
      <c r="J69" s="102" t="s">
        <v>271</v>
      </c>
      <c r="K69" s="118">
        <v>3204240808</v>
      </c>
      <c r="L69" s="118"/>
    </row>
    <row r="70" spans="1:12" s="28" customFormat="1" ht="12.75">
      <c r="A70" s="86">
        <f t="shared" si="1"/>
        <v>52</v>
      </c>
      <c r="B70" s="83" t="s">
        <v>165</v>
      </c>
      <c r="C70" s="59" t="s">
        <v>166</v>
      </c>
      <c r="D70" s="37"/>
      <c r="E70" s="37"/>
      <c r="F70" s="37"/>
      <c r="G70" s="37">
        <v>72.35</v>
      </c>
      <c r="H70" s="37"/>
      <c r="I70" s="38"/>
      <c r="J70" s="102" t="s">
        <v>271</v>
      </c>
      <c r="K70" s="118">
        <v>3204197043</v>
      </c>
      <c r="L70" s="118"/>
    </row>
    <row r="71" spans="1:12" s="28" customFormat="1" ht="12.75">
      <c r="A71" s="86">
        <f t="shared" si="1"/>
        <v>53</v>
      </c>
      <c r="B71" s="83" t="s">
        <v>168</v>
      </c>
      <c r="C71" s="59" t="s">
        <v>169</v>
      </c>
      <c r="D71" s="37"/>
      <c r="E71" s="37"/>
      <c r="F71" s="37"/>
      <c r="G71" s="37">
        <v>65.86</v>
      </c>
      <c r="H71" s="37"/>
      <c r="I71" s="38">
        <v>768</v>
      </c>
      <c r="J71" s="102" t="s">
        <v>271</v>
      </c>
      <c r="K71" s="118">
        <v>3204079515</v>
      </c>
      <c r="L71" s="118"/>
    </row>
    <row r="72" spans="1:12" s="28" customFormat="1" ht="12.75">
      <c r="A72" s="86">
        <f t="shared" si="1"/>
        <v>54</v>
      </c>
      <c r="B72" s="83" t="s">
        <v>171</v>
      </c>
      <c r="C72" s="59" t="s">
        <v>172</v>
      </c>
      <c r="D72" s="37"/>
      <c r="E72" s="37">
        <v>687.6</v>
      </c>
      <c r="F72" s="37"/>
      <c r="G72" s="37">
        <v>270.48</v>
      </c>
      <c r="H72" s="37"/>
      <c r="I72" s="38">
        <v>650</v>
      </c>
      <c r="J72" s="102" t="s">
        <v>271</v>
      </c>
      <c r="K72" s="118">
        <v>3209023009</v>
      </c>
      <c r="L72" s="118"/>
    </row>
    <row r="73" spans="1:12" s="28" customFormat="1" ht="12.75">
      <c r="A73" s="86">
        <f t="shared" si="1"/>
        <v>55</v>
      </c>
      <c r="B73" s="83" t="s">
        <v>174</v>
      </c>
      <c r="C73" s="59" t="s">
        <v>175</v>
      </c>
      <c r="D73" s="37"/>
      <c r="E73" s="37"/>
      <c r="F73" s="37"/>
      <c r="G73" s="37">
        <v>246.64</v>
      </c>
      <c r="H73" s="37"/>
      <c r="I73" s="38"/>
      <c r="J73" s="102" t="s">
        <v>271</v>
      </c>
      <c r="K73" s="118">
        <v>3204010100</v>
      </c>
      <c r="L73" s="118"/>
    </row>
    <row r="74" spans="1:12" s="28" customFormat="1" ht="12.75">
      <c r="A74" s="86">
        <f t="shared" si="1"/>
        <v>56</v>
      </c>
      <c r="B74" s="83" t="s">
        <v>180</v>
      </c>
      <c r="C74" s="59" t="s">
        <v>181</v>
      </c>
      <c r="D74" s="37"/>
      <c r="E74" s="37"/>
      <c r="F74" s="37"/>
      <c r="G74" s="37">
        <v>160.88</v>
      </c>
      <c r="H74" s="37"/>
      <c r="I74" s="38">
        <v>250</v>
      </c>
      <c r="J74" s="102" t="s">
        <v>271</v>
      </c>
      <c r="K74" s="118">
        <v>3204016235</v>
      </c>
      <c r="L74" s="118"/>
    </row>
    <row r="75" spans="1:12" s="28" customFormat="1" ht="12.75">
      <c r="A75" s="86">
        <f t="shared" si="1"/>
        <v>57</v>
      </c>
      <c r="B75" s="83" t="s">
        <v>183</v>
      </c>
      <c r="C75" s="59" t="s">
        <v>184</v>
      </c>
      <c r="D75" s="37"/>
      <c r="E75" s="37"/>
      <c r="F75" s="37"/>
      <c r="G75" s="37"/>
      <c r="H75" s="37"/>
      <c r="I75" s="38"/>
      <c r="J75" s="102" t="s">
        <v>271</v>
      </c>
      <c r="K75" s="118">
        <v>3204072195</v>
      </c>
      <c r="L75" s="118"/>
    </row>
    <row r="76" spans="1:12" s="28" customFormat="1" ht="12.75">
      <c r="A76" s="86">
        <f t="shared" si="1"/>
        <v>58</v>
      </c>
      <c r="B76" s="83" t="s">
        <v>186</v>
      </c>
      <c r="C76" s="59" t="s">
        <v>187</v>
      </c>
      <c r="D76" s="37"/>
      <c r="E76" s="37"/>
      <c r="F76" s="37"/>
      <c r="G76" s="37">
        <v>77.2</v>
      </c>
      <c r="H76" s="37"/>
      <c r="I76" s="38"/>
      <c r="J76" s="102" t="s">
        <v>271</v>
      </c>
      <c r="K76" s="118">
        <v>3204079960</v>
      </c>
      <c r="L76" s="118"/>
    </row>
    <row r="77" spans="1:12" s="28" customFormat="1" ht="12.75">
      <c r="A77" s="86">
        <f t="shared" si="1"/>
        <v>59</v>
      </c>
      <c r="B77" s="83" t="s">
        <v>189</v>
      </c>
      <c r="C77" s="59" t="s">
        <v>190</v>
      </c>
      <c r="D77" s="37"/>
      <c r="E77" s="37"/>
      <c r="F77" s="37"/>
      <c r="G77" s="37">
        <v>163.92</v>
      </c>
      <c r="H77" s="37"/>
      <c r="I77" s="38">
        <v>250</v>
      </c>
      <c r="J77" s="102" t="s">
        <v>271</v>
      </c>
      <c r="K77" s="118">
        <v>3203970986</v>
      </c>
      <c r="L77" s="118"/>
    </row>
    <row r="78" spans="1:12" s="28" customFormat="1" ht="12.75">
      <c r="A78" s="86">
        <f t="shared" si="1"/>
        <v>60</v>
      </c>
      <c r="B78" s="83" t="s">
        <v>192</v>
      </c>
      <c r="C78" s="59" t="s">
        <v>193</v>
      </c>
      <c r="D78" s="37"/>
      <c r="E78" s="37"/>
      <c r="F78" s="37"/>
      <c r="G78" s="37">
        <v>156.64</v>
      </c>
      <c r="H78" s="37"/>
      <c r="I78" s="38">
        <v>250</v>
      </c>
      <c r="J78" s="102" t="s">
        <v>271</v>
      </c>
      <c r="K78" s="118">
        <v>3204067208</v>
      </c>
      <c r="L78" s="118"/>
    </row>
    <row r="79" spans="1:12" s="28" customFormat="1" ht="12.75">
      <c r="A79" s="86">
        <f t="shared" si="1"/>
        <v>61</v>
      </c>
      <c r="B79" s="83" t="s">
        <v>195</v>
      </c>
      <c r="C79" s="59" t="s">
        <v>196</v>
      </c>
      <c r="D79" s="37"/>
      <c r="E79" s="37"/>
      <c r="F79" s="37"/>
      <c r="G79" s="37">
        <v>154.32</v>
      </c>
      <c r="H79" s="37"/>
      <c r="I79" s="38">
        <v>250</v>
      </c>
      <c r="J79" s="102" t="s">
        <v>271</v>
      </c>
      <c r="K79" s="118">
        <v>3204142989</v>
      </c>
      <c r="L79" s="118"/>
    </row>
    <row r="80" spans="1:12" s="28" customFormat="1" ht="12.75">
      <c r="A80" s="86">
        <f t="shared" si="1"/>
        <v>62</v>
      </c>
      <c r="B80" s="83" t="s">
        <v>198</v>
      </c>
      <c r="C80" s="59" t="s">
        <v>199</v>
      </c>
      <c r="D80" s="37"/>
      <c r="E80" s="37"/>
      <c r="F80" s="37"/>
      <c r="G80" s="37">
        <v>157.36</v>
      </c>
      <c r="H80" s="37"/>
      <c r="I80" s="38">
        <v>600</v>
      </c>
      <c r="J80" s="102" t="s">
        <v>271</v>
      </c>
      <c r="K80" s="118">
        <v>3209666848</v>
      </c>
      <c r="L80" s="118"/>
    </row>
    <row r="81" spans="1:12" s="28" customFormat="1" ht="12.75">
      <c r="A81" s="86">
        <f t="shared" si="1"/>
        <v>63</v>
      </c>
      <c r="B81" s="83" t="s">
        <v>201</v>
      </c>
      <c r="C81" s="59" t="s">
        <v>202</v>
      </c>
      <c r="D81" s="37"/>
      <c r="E81" s="37"/>
      <c r="F81" s="37"/>
      <c r="G81" s="37"/>
      <c r="H81" s="37"/>
      <c r="I81" s="38"/>
      <c r="J81" s="102" t="s">
        <v>271</v>
      </c>
      <c r="K81" s="118">
        <v>3212211696</v>
      </c>
      <c r="L81" s="118"/>
    </row>
    <row r="82" spans="1:12" s="28" customFormat="1" ht="12.75">
      <c r="A82" s="86">
        <f t="shared" si="1"/>
        <v>64</v>
      </c>
      <c r="B82" s="83" t="s">
        <v>204</v>
      </c>
      <c r="C82" s="59" t="s">
        <v>205</v>
      </c>
      <c r="D82" s="37"/>
      <c r="E82" s="37"/>
      <c r="F82" s="37"/>
      <c r="G82" s="37">
        <v>206.72</v>
      </c>
      <c r="H82" s="37"/>
      <c r="I82" s="38">
        <v>850</v>
      </c>
      <c r="J82" s="102" t="s">
        <v>271</v>
      </c>
      <c r="K82" s="118">
        <v>3204034361</v>
      </c>
      <c r="L82" s="118"/>
    </row>
    <row r="83" spans="1:12" s="28" customFormat="1" ht="12.75">
      <c r="A83" s="86">
        <f t="shared" si="1"/>
        <v>65</v>
      </c>
      <c r="B83" s="83" t="s">
        <v>207</v>
      </c>
      <c r="C83" s="59" t="s">
        <v>208</v>
      </c>
      <c r="D83" s="37"/>
      <c r="E83" s="37"/>
      <c r="F83" s="37"/>
      <c r="G83" s="37">
        <v>160.88</v>
      </c>
      <c r="H83" s="37"/>
      <c r="I83" s="38">
        <v>250</v>
      </c>
      <c r="J83" s="107" t="s">
        <v>278</v>
      </c>
      <c r="K83" s="118">
        <v>3203218021</v>
      </c>
      <c r="L83" s="118"/>
    </row>
    <row r="84" spans="1:12" s="28" customFormat="1" ht="12.75">
      <c r="A84" s="86">
        <f t="shared" si="1"/>
        <v>66</v>
      </c>
      <c r="B84" s="129" t="s">
        <v>210</v>
      </c>
      <c r="C84" s="59" t="s">
        <v>211</v>
      </c>
      <c r="D84" s="37"/>
      <c r="E84" s="37"/>
      <c r="F84" s="37"/>
      <c r="G84" s="37">
        <v>326.24</v>
      </c>
      <c r="H84" s="37"/>
      <c r="I84" s="38">
        <v>250</v>
      </c>
      <c r="J84" s="102" t="s">
        <v>276</v>
      </c>
      <c r="K84" s="118">
        <v>3242020709</v>
      </c>
      <c r="L84" s="118"/>
    </row>
    <row r="85" spans="1:12" s="28" customFormat="1" ht="13.5" thickBot="1">
      <c r="A85" s="91">
        <f t="shared" si="1"/>
        <v>67</v>
      </c>
      <c r="B85" s="81" t="s">
        <v>213</v>
      </c>
      <c r="C85" s="64" t="s">
        <v>214</v>
      </c>
      <c r="D85" s="56"/>
      <c r="E85" s="56"/>
      <c r="F85" s="56"/>
      <c r="G85" s="56">
        <v>310.56</v>
      </c>
      <c r="H85" s="56">
        <v>675.39</v>
      </c>
      <c r="I85" s="65"/>
      <c r="J85" s="126" t="s">
        <v>271</v>
      </c>
      <c r="K85" s="130">
        <v>3207325476</v>
      </c>
      <c r="L85" s="130"/>
    </row>
    <row r="86" spans="1:12" s="28" customFormat="1" ht="12.75">
      <c r="A86" s="70"/>
      <c r="B86" s="71"/>
      <c r="C86" s="72"/>
      <c r="D86" s="73"/>
      <c r="E86" s="73"/>
      <c r="F86" s="73"/>
      <c r="G86" s="73"/>
      <c r="H86" s="73"/>
      <c r="I86" s="73"/>
      <c r="J86" s="104"/>
      <c r="K86" s="115"/>
      <c r="L86" s="116"/>
    </row>
    <row r="87" spans="1:12" s="28" customFormat="1" ht="12.75">
      <c r="A87" s="70"/>
      <c r="B87" s="71"/>
      <c r="C87" s="72"/>
      <c r="D87" s="73"/>
      <c r="E87" s="73"/>
      <c r="F87" s="73"/>
      <c r="G87" s="73"/>
      <c r="H87" s="73"/>
      <c r="I87" s="73"/>
      <c r="J87" s="104"/>
      <c r="K87" s="115"/>
      <c r="L87" s="116"/>
    </row>
    <row r="88" spans="10:12" s="28" customFormat="1" ht="11.25" customHeight="1">
      <c r="J88" s="105"/>
      <c r="K88" s="116"/>
      <c r="L88" s="116"/>
    </row>
    <row r="89" spans="10:12" s="28" customFormat="1" ht="13.5" thickBot="1">
      <c r="J89" s="105"/>
      <c r="K89" s="116"/>
      <c r="L89" s="116"/>
    </row>
    <row r="90" spans="1:12" s="28" customFormat="1" ht="21.75" customHeight="1" thickBot="1">
      <c r="A90" s="54" t="s">
        <v>256</v>
      </c>
      <c r="B90" s="57" t="s">
        <v>17</v>
      </c>
      <c r="C90" s="54" t="s">
        <v>254</v>
      </c>
      <c r="D90" s="68" t="s">
        <v>259</v>
      </c>
      <c r="E90" s="68" t="s">
        <v>260</v>
      </c>
      <c r="F90" s="68" t="s">
        <v>261</v>
      </c>
      <c r="G90" s="68" t="s">
        <v>262</v>
      </c>
      <c r="H90" s="68" t="s">
        <v>263</v>
      </c>
      <c r="I90" s="69" t="s">
        <v>264</v>
      </c>
      <c r="J90" s="75" t="s">
        <v>270</v>
      </c>
      <c r="K90" s="111" t="s">
        <v>280</v>
      </c>
      <c r="L90" s="111"/>
    </row>
    <row r="91" spans="1:12" s="28" customFormat="1" ht="12.75">
      <c r="A91" s="131">
        <v>68</v>
      </c>
      <c r="B91" s="132" t="s">
        <v>216</v>
      </c>
      <c r="C91" s="58" t="s">
        <v>217</v>
      </c>
      <c r="D91" s="32"/>
      <c r="E91" s="32"/>
      <c r="F91" s="32"/>
      <c r="G91" s="32">
        <v>312.16</v>
      </c>
      <c r="H91" s="32"/>
      <c r="I91" s="133">
        <v>250</v>
      </c>
      <c r="J91" s="134" t="s">
        <v>275</v>
      </c>
      <c r="K91" s="112">
        <v>3220513030</v>
      </c>
      <c r="L91" s="117"/>
    </row>
    <row r="92" spans="1:12" s="28" customFormat="1" ht="12.75">
      <c r="A92" s="86">
        <f aca="true" t="shared" si="2" ref="A92:A104">SUM(A91+1)</f>
        <v>69</v>
      </c>
      <c r="B92" s="82" t="s">
        <v>221</v>
      </c>
      <c r="C92" s="58" t="s">
        <v>222</v>
      </c>
      <c r="D92" s="32">
        <v>374.95</v>
      </c>
      <c r="E92" s="32"/>
      <c r="F92" s="32"/>
      <c r="G92" s="32">
        <v>306.08</v>
      </c>
      <c r="H92" s="32"/>
      <c r="I92" s="33">
        <v>1956</v>
      </c>
      <c r="J92" s="108" t="s">
        <v>276</v>
      </c>
      <c r="K92" s="112">
        <v>3243353856</v>
      </c>
      <c r="L92" s="117"/>
    </row>
    <row r="93" spans="1:12" s="28" customFormat="1" ht="12.75">
      <c r="A93" s="86">
        <f t="shared" si="2"/>
        <v>70</v>
      </c>
      <c r="B93" s="83" t="s">
        <v>224</v>
      </c>
      <c r="C93" s="59" t="s">
        <v>225</v>
      </c>
      <c r="D93" s="37"/>
      <c r="E93" s="37"/>
      <c r="F93" s="37"/>
      <c r="G93" s="37"/>
      <c r="H93" s="37"/>
      <c r="I93" s="38">
        <v>810</v>
      </c>
      <c r="J93" s="102" t="s">
        <v>271</v>
      </c>
      <c r="K93" s="113">
        <v>3204010433</v>
      </c>
      <c r="L93" s="118"/>
    </row>
    <row r="94" spans="1:12" s="28" customFormat="1" ht="12.75">
      <c r="A94" s="86">
        <f t="shared" si="2"/>
        <v>71</v>
      </c>
      <c r="B94" s="83" t="s">
        <v>227</v>
      </c>
      <c r="C94" s="59" t="s">
        <v>228</v>
      </c>
      <c r="D94" s="37"/>
      <c r="E94" s="37"/>
      <c r="F94" s="37"/>
      <c r="G94" s="37"/>
      <c r="H94" s="37"/>
      <c r="I94" s="38">
        <v>250</v>
      </c>
      <c r="J94" s="102" t="s">
        <v>271</v>
      </c>
      <c r="K94" s="113">
        <v>3204010191</v>
      </c>
      <c r="L94" s="118"/>
    </row>
    <row r="95" spans="1:12" s="28" customFormat="1" ht="12.75">
      <c r="A95" s="86">
        <f t="shared" si="2"/>
        <v>72</v>
      </c>
      <c r="B95" s="83" t="s">
        <v>230</v>
      </c>
      <c r="C95" s="59" t="s">
        <v>231</v>
      </c>
      <c r="D95" s="37"/>
      <c r="E95" s="37"/>
      <c r="F95" s="37"/>
      <c r="G95" s="37"/>
      <c r="H95" s="37"/>
      <c r="I95" s="38">
        <v>250</v>
      </c>
      <c r="J95" s="102" t="s">
        <v>271</v>
      </c>
      <c r="K95" s="113">
        <v>3203942467</v>
      </c>
      <c r="L95" s="118"/>
    </row>
    <row r="96" spans="1:12" s="28" customFormat="1" ht="12.75">
      <c r="A96" s="86">
        <f t="shared" si="2"/>
        <v>73</v>
      </c>
      <c r="B96" s="83" t="s">
        <v>258</v>
      </c>
      <c r="C96" s="59" t="s">
        <v>282</v>
      </c>
      <c r="D96" s="37"/>
      <c r="E96" s="37"/>
      <c r="F96" s="37"/>
      <c r="G96" s="37"/>
      <c r="H96" s="37"/>
      <c r="I96" s="38">
        <v>823</v>
      </c>
      <c r="J96" s="102" t="s">
        <v>271</v>
      </c>
      <c r="K96" s="113">
        <v>3204212845</v>
      </c>
      <c r="L96" s="118"/>
    </row>
    <row r="97" spans="1:12" s="28" customFormat="1" ht="12.75">
      <c r="A97" s="86">
        <f t="shared" si="2"/>
        <v>74</v>
      </c>
      <c r="B97" s="83" t="s">
        <v>232</v>
      </c>
      <c r="C97" s="59" t="s">
        <v>233</v>
      </c>
      <c r="D97" s="37"/>
      <c r="E97" s="37"/>
      <c r="F97" s="37"/>
      <c r="G97" s="37">
        <v>146.66</v>
      </c>
      <c r="H97" s="37"/>
      <c r="I97" s="38">
        <v>250</v>
      </c>
      <c r="J97" s="102" t="s">
        <v>271</v>
      </c>
      <c r="K97" s="113">
        <v>3203978191</v>
      </c>
      <c r="L97" s="118"/>
    </row>
    <row r="98" spans="1:12" s="28" customFormat="1" ht="12.75">
      <c r="A98" s="86">
        <f t="shared" si="2"/>
        <v>75</v>
      </c>
      <c r="B98" s="83" t="s">
        <v>234</v>
      </c>
      <c r="C98" s="59" t="s">
        <v>235</v>
      </c>
      <c r="D98" s="37"/>
      <c r="E98" s="37"/>
      <c r="F98" s="37"/>
      <c r="G98" s="37"/>
      <c r="H98" s="37"/>
      <c r="I98" s="38"/>
      <c r="J98" s="102" t="s">
        <v>271</v>
      </c>
      <c r="K98" s="113">
        <v>3204010505</v>
      </c>
      <c r="L98" s="118"/>
    </row>
    <row r="99" spans="1:12" s="28" customFormat="1" ht="12.75">
      <c r="A99" s="86">
        <f t="shared" si="2"/>
        <v>76</v>
      </c>
      <c r="B99" s="83" t="s">
        <v>236</v>
      </c>
      <c r="C99" s="59" t="s">
        <v>237</v>
      </c>
      <c r="D99" s="37"/>
      <c r="E99" s="37"/>
      <c r="F99" s="37"/>
      <c r="G99" s="37">
        <v>77.48</v>
      </c>
      <c r="H99" s="37"/>
      <c r="I99" s="38"/>
      <c r="J99" s="102" t="s">
        <v>271</v>
      </c>
      <c r="K99" s="113">
        <v>3204169869</v>
      </c>
      <c r="L99" s="118"/>
    </row>
    <row r="100" spans="1:12" s="28" customFormat="1" ht="12.75">
      <c r="A100" s="86">
        <f t="shared" si="2"/>
        <v>77</v>
      </c>
      <c r="B100" s="83" t="s">
        <v>240</v>
      </c>
      <c r="C100" s="59" t="s">
        <v>241</v>
      </c>
      <c r="D100" s="37"/>
      <c r="E100" s="37"/>
      <c r="F100" s="37">
        <v>46.15</v>
      </c>
      <c r="G100" s="37">
        <v>248.96</v>
      </c>
      <c r="H100" s="37"/>
      <c r="I100" s="38">
        <v>752</v>
      </c>
      <c r="J100" s="102" t="s">
        <v>271</v>
      </c>
      <c r="K100" s="113">
        <v>3205778577</v>
      </c>
      <c r="L100" s="118"/>
    </row>
    <row r="101" spans="1:12" s="28" customFormat="1" ht="12.75">
      <c r="A101" s="86">
        <f t="shared" si="2"/>
        <v>78</v>
      </c>
      <c r="B101" s="83" t="s">
        <v>242</v>
      </c>
      <c r="C101" s="59" t="s">
        <v>243</v>
      </c>
      <c r="D101" s="37"/>
      <c r="E101" s="37"/>
      <c r="F101" s="37"/>
      <c r="G101" s="37">
        <v>70.48</v>
      </c>
      <c r="H101" s="37"/>
      <c r="I101" s="38">
        <v>1200</v>
      </c>
      <c r="J101" s="107" t="s">
        <v>279</v>
      </c>
      <c r="K101" s="113">
        <v>3200516734</v>
      </c>
      <c r="L101" s="118"/>
    </row>
    <row r="102" spans="1:12" s="28" customFormat="1" ht="12.75">
      <c r="A102" s="86">
        <f t="shared" si="2"/>
        <v>79</v>
      </c>
      <c r="B102" s="83" t="s">
        <v>244</v>
      </c>
      <c r="C102" s="59" t="s">
        <v>245</v>
      </c>
      <c r="D102" s="37"/>
      <c r="E102" s="37"/>
      <c r="F102" s="37"/>
      <c r="G102" s="37">
        <v>312.16</v>
      </c>
      <c r="H102" s="37">
        <v>233.19</v>
      </c>
      <c r="I102" s="38">
        <v>830</v>
      </c>
      <c r="J102" s="102" t="s">
        <v>271</v>
      </c>
      <c r="K102" s="113">
        <v>3204141898</v>
      </c>
      <c r="L102" s="118"/>
    </row>
    <row r="103" spans="1:12" s="28" customFormat="1" ht="12.75">
      <c r="A103" s="86">
        <f t="shared" si="2"/>
        <v>80</v>
      </c>
      <c r="B103" s="83" t="s">
        <v>246</v>
      </c>
      <c r="C103" s="59" t="s">
        <v>247</v>
      </c>
      <c r="D103" s="37"/>
      <c r="E103" s="37"/>
      <c r="F103" s="37"/>
      <c r="G103" s="37">
        <v>315.2</v>
      </c>
      <c r="H103" s="37"/>
      <c r="I103" s="38">
        <v>600</v>
      </c>
      <c r="J103" s="102" t="s">
        <v>275</v>
      </c>
      <c r="K103" s="113">
        <v>3221235503</v>
      </c>
      <c r="L103" s="118"/>
    </row>
    <row r="104" spans="1:12" s="28" customFormat="1" ht="13.5" thickBot="1">
      <c r="A104" s="92">
        <f t="shared" si="2"/>
        <v>81</v>
      </c>
      <c r="B104" s="83" t="s">
        <v>248</v>
      </c>
      <c r="C104" s="59" t="s">
        <v>249</v>
      </c>
      <c r="D104" s="37">
        <v>197.75</v>
      </c>
      <c r="E104" s="37"/>
      <c r="F104" s="37"/>
      <c r="G104" s="37">
        <v>309.6</v>
      </c>
      <c r="H104" s="37"/>
      <c r="I104" s="38">
        <v>600</v>
      </c>
      <c r="J104" s="103" t="s">
        <v>275</v>
      </c>
      <c r="K104" s="114">
        <v>3223040861</v>
      </c>
      <c r="L104" s="119"/>
    </row>
    <row r="105" spans="1:12" s="1" customFormat="1" ht="19.5" thickBot="1">
      <c r="A105" s="97"/>
      <c r="B105" s="84" t="s">
        <v>238</v>
      </c>
      <c r="C105" s="66"/>
      <c r="D105" s="12">
        <f aca="true" t="shared" si="3" ref="D105:I105">SUM(D6:D104)</f>
        <v>8385.64</v>
      </c>
      <c r="E105" s="12">
        <f t="shared" si="3"/>
        <v>3315.12</v>
      </c>
      <c r="F105" s="12">
        <f t="shared" si="3"/>
        <v>1712.52</v>
      </c>
      <c r="G105" s="12">
        <f t="shared" si="3"/>
        <v>20288.87</v>
      </c>
      <c r="H105" s="12">
        <f t="shared" si="3"/>
        <v>4159.84</v>
      </c>
      <c r="I105" s="94">
        <f t="shared" si="3"/>
        <v>34036</v>
      </c>
      <c r="J105" s="109"/>
      <c r="K105" s="120"/>
      <c r="L105" s="9"/>
    </row>
    <row r="106" spans="10:12" s="28" customFormat="1" ht="12.75">
      <c r="J106" s="105"/>
      <c r="K106" s="116"/>
      <c r="L106" s="116"/>
    </row>
    <row r="107" spans="10:12" s="28" customFormat="1" ht="12.75">
      <c r="J107" s="105"/>
      <c r="K107" s="116"/>
      <c r="L107" s="116"/>
    </row>
    <row r="108" spans="10:12" s="28" customFormat="1" ht="12.75">
      <c r="J108" s="105"/>
      <c r="K108" s="116"/>
      <c r="L108" s="116"/>
    </row>
    <row r="109" spans="10:12" s="28" customFormat="1" ht="12.75">
      <c r="J109" s="105"/>
      <c r="K109" s="116"/>
      <c r="L109" s="116"/>
    </row>
    <row r="110" spans="10:12" s="28" customFormat="1" ht="12.75">
      <c r="J110" s="105"/>
      <c r="K110" s="116"/>
      <c r="L110" s="116"/>
    </row>
    <row r="111" spans="10:12" s="28" customFormat="1" ht="12.75">
      <c r="J111" s="105"/>
      <c r="K111" s="116"/>
      <c r="L111" s="116"/>
    </row>
    <row r="112" spans="10:12" s="28" customFormat="1" ht="12.75">
      <c r="J112" s="105"/>
      <c r="K112" s="116"/>
      <c r="L112" s="116"/>
    </row>
    <row r="113" spans="10:12" s="28" customFormat="1" ht="12.75">
      <c r="J113" s="105"/>
      <c r="K113" s="116"/>
      <c r="L113" s="116"/>
    </row>
    <row r="114" spans="10:12" s="28" customFormat="1" ht="12.75">
      <c r="J114" s="105"/>
      <c r="K114" s="116"/>
      <c r="L114" s="116"/>
    </row>
    <row r="115" spans="10:12" s="28" customFormat="1" ht="12.75">
      <c r="J115" s="105"/>
      <c r="K115" s="116"/>
      <c r="L115" s="116"/>
    </row>
    <row r="116" spans="10:12" s="28" customFormat="1" ht="12.75">
      <c r="J116" s="105"/>
      <c r="K116" s="116"/>
      <c r="L116" s="116"/>
    </row>
    <row r="117" spans="10:12" s="28" customFormat="1" ht="12.75">
      <c r="J117" s="105"/>
      <c r="K117" s="116"/>
      <c r="L117" s="116"/>
    </row>
    <row r="118" spans="10:12" s="28" customFormat="1" ht="12.75">
      <c r="J118" s="105"/>
      <c r="K118" s="116"/>
      <c r="L118" s="116"/>
    </row>
    <row r="119" spans="10:12" s="28" customFormat="1" ht="12.75">
      <c r="J119" s="105"/>
      <c r="K119" s="116"/>
      <c r="L119" s="116"/>
    </row>
    <row r="120" spans="10:12" s="28" customFormat="1" ht="12.75">
      <c r="J120" s="105"/>
      <c r="K120" s="116"/>
      <c r="L120" s="116"/>
    </row>
    <row r="121" spans="10:12" s="28" customFormat="1" ht="12.75">
      <c r="J121" s="105"/>
      <c r="K121" s="116"/>
      <c r="L121" s="116"/>
    </row>
    <row r="122" spans="10:12" s="28" customFormat="1" ht="12.75">
      <c r="J122" s="105"/>
      <c r="K122" s="116"/>
      <c r="L122" s="116"/>
    </row>
    <row r="123" spans="10:12" s="28" customFormat="1" ht="12.75">
      <c r="J123" s="105"/>
      <c r="K123" s="116"/>
      <c r="L123" s="116"/>
    </row>
    <row r="124" spans="10:12" s="28" customFormat="1" ht="12.75">
      <c r="J124" s="105"/>
      <c r="K124" s="116"/>
      <c r="L124" s="116"/>
    </row>
    <row r="125" spans="10:12" s="28" customFormat="1" ht="12.75">
      <c r="J125" s="105"/>
      <c r="K125" s="116"/>
      <c r="L125" s="116"/>
    </row>
    <row r="126" spans="10:12" s="28" customFormat="1" ht="12.75">
      <c r="J126" s="105"/>
      <c r="K126" s="116"/>
      <c r="L126" s="116"/>
    </row>
    <row r="127" spans="10:12" s="28" customFormat="1" ht="12.75">
      <c r="J127" s="105"/>
      <c r="K127" s="116"/>
      <c r="L127" s="116"/>
    </row>
    <row r="128" spans="10:12" s="28" customFormat="1" ht="12.75">
      <c r="J128" s="105"/>
      <c r="K128" s="116"/>
      <c r="L128" s="116"/>
    </row>
    <row r="129" spans="10:12" s="28" customFormat="1" ht="12.75">
      <c r="J129" s="105"/>
      <c r="K129" s="116"/>
      <c r="L129" s="116"/>
    </row>
    <row r="130" spans="10:12" s="28" customFormat="1" ht="12.75">
      <c r="J130" s="105"/>
      <c r="K130" s="116"/>
      <c r="L130" s="116"/>
    </row>
    <row r="131" spans="10:12" s="28" customFormat="1" ht="12.75">
      <c r="J131" s="105"/>
      <c r="K131" s="116"/>
      <c r="L131" s="116"/>
    </row>
    <row r="132" spans="10:12" s="28" customFormat="1" ht="12.75">
      <c r="J132" s="105"/>
      <c r="K132" s="116"/>
      <c r="L132" s="116"/>
    </row>
    <row r="133" spans="10:12" s="28" customFormat="1" ht="12.75">
      <c r="J133" s="105"/>
      <c r="K133" s="116"/>
      <c r="L133" s="116"/>
    </row>
    <row r="134" spans="10:12" s="28" customFormat="1" ht="12.75">
      <c r="J134" s="105"/>
      <c r="K134" s="116"/>
      <c r="L134" s="116"/>
    </row>
    <row r="135" spans="10:12" s="28" customFormat="1" ht="12.75">
      <c r="J135" s="105"/>
      <c r="K135" s="116"/>
      <c r="L135" s="116"/>
    </row>
    <row r="136" spans="10:12" s="28" customFormat="1" ht="12.75">
      <c r="J136" s="105"/>
      <c r="K136" s="116"/>
      <c r="L136" s="116"/>
    </row>
    <row r="137" spans="10:12" s="28" customFormat="1" ht="12.75">
      <c r="J137" s="105"/>
      <c r="K137" s="116"/>
      <c r="L137" s="116"/>
    </row>
    <row r="138" spans="10:12" s="28" customFormat="1" ht="12.75">
      <c r="J138" s="105"/>
      <c r="K138" s="116"/>
      <c r="L138" s="116"/>
    </row>
    <row r="139" spans="10:12" s="28" customFormat="1" ht="12.75">
      <c r="J139" s="105"/>
      <c r="K139" s="116"/>
      <c r="L139" s="116"/>
    </row>
    <row r="140" spans="10:12" s="28" customFormat="1" ht="12.75">
      <c r="J140" s="105"/>
      <c r="K140" s="116"/>
      <c r="L140" s="116"/>
    </row>
    <row r="141" spans="10:12" s="28" customFormat="1" ht="12.75">
      <c r="J141" s="105"/>
      <c r="K141" s="116"/>
      <c r="L141" s="116"/>
    </row>
    <row r="142" spans="10:12" s="28" customFormat="1" ht="12.75">
      <c r="J142" s="105"/>
      <c r="K142" s="116"/>
      <c r="L142" s="116"/>
    </row>
    <row r="143" spans="10:12" s="28" customFormat="1" ht="12.75">
      <c r="J143" s="105"/>
      <c r="K143" s="116"/>
      <c r="L143" s="116"/>
    </row>
    <row r="144" spans="10:12" s="28" customFormat="1" ht="12.75">
      <c r="J144" s="105"/>
      <c r="K144" s="116"/>
      <c r="L144" s="116"/>
    </row>
    <row r="145" spans="10:12" s="28" customFormat="1" ht="12.75">
      <c r="J145" s="105"/>
      <c r="K145" s="116"/>
      <c r="L145" s="116"/>
    </row>
    <row r="146" spans="10:12" s="28" customFormat="1" ht="12.75">
      <c r="J146" s="105"/>
      <c r="K146" s="116"/>
      <c r="L146" s="116"/>
    </row>
    <row r="147" spans="10:12" s="28" customFormat="1" ht="12.75">
      <c r="J147" s="105"/>
      <c r="K147" s="116"/>
      <c r="L147" s="116"/>
    </row>
    <row r="148" spans="10:12" s="28" customFormat="1" ht="12.75">
      <c r="J148" s="105"/>
      <c r="K148" s="116"/>
      <c r="L148" s="116"/>
    </row>
    <row r="149" spans="10:12" s="28" customFormat="1" ht="12.75">
      <c r="J149" s="105"/>
      <c r="K149" s="116"/>
      <c r="L149" s="116"/>
    </row>
    <row r="150" spans="10:12" s="28" customFormat="1" ht="12.75">
      <c r="J150" s="105"/>
      <c r="K150" s="116"/>
      <c r="L150" s="116"/>
    </row>
    <row r="151" spans="10:12" s="28" customFormat="1" ht="12.75">
      <c r="J151" s="105"/>
      <c r="K151" s="116"/>
      <c r="L151" s="116"/>
    </row>
    <row r="152" spans="10:12" s="28" customFormat="1" ht="12.75">
      <c r="J152" s="105"/>
      <c r="K152" s="116"/>
      <c r="L152" s="116"/>
    </row>
    <row r="153" spans="10:12" s="28" customFormat="1" ht="12.75">
      <c r="J153" s="105"/>
      <c r="K153" s="116"/>
      <c r="L153" s="116"/>
    </row>
    <row r="154" spans="10:12" s="28" customFormat="1" ht="12.75">
      <c r="J154" s="105"/>
      <c r="K154" s="116"/>
      <c r="L154" s="116"/>
    </row>
    <row r="155" spans="10:12" s="28" customFormat="1" ht="12.75">
      <c r="J155" s="105"/>
      <c r="K155" s="116"/>
      <c r="L155" s="116"/>
    </row>
    <row r="156" spans="10:12" s="28" customFormat="1" ht="12.75">
      <c r="J156" s="105"/>
      <c r="K156" s="116"/>
      <c r="L156" s="116"/>
    </row>
    <row r="157" spans="10:12" s="28" customFormat="1" ht="12.75">
      <c r="J157" s="105"/>
      <c r="K157" s="116"/>
      <c r="L157" s="116"/>
    </row>
    <row r="158" spans="10:12" s="28" customFormat="1" ht="12.75">
      <c r="J158" s="105"/>
      <c r="K158" s="116"/>
      <c r="L158" s="116"/>
    </row>
    <row r="159" spans="10:12" s="28" customFormat="1" ht="12.75">
      <c r="J159" s="105"/>
      <c r="K159" s="116"/>
      <c r="L159" s="116"/>
    </row>
    <row r="160" spans="10:12" s="28" customFormat="1" ht="12.75">
      <c r="J160" s="105"/>
      <c r="K160" s="116"/>
      <c r="L160" s="116"/>
    </row>
    <row r="161" spans="10:12" s="28" customFormat="1" ht="12.75">
      <c r="J161" s="105"/>
      <c r="K161" s="116"/>
      <c r="L161" s="116"/>
    </row>
    <row r="162" spans="10:12" s="28" customFormat="1" ht="12.75">
      <c r="J162" s="105"/>
      <c r="K162" s="116"/>
      <c r="L162" s="116"/>
    </row>
    <row r="163" spans="10:12" s="28" customFormat="1" ht="12.75">
      <c r="J163" s="105"/>
      <c r="K163" s="116"/>
      <c r="L163" s="116"/>
    </row>
    <row r="164" spans="10:12" s="28" customFormat="1" ht="12.75">
      <c r="J164" s="105"/>
      <c r="K164" s="116"/>
      <c r="L164" s="116"/>
    </row>
    <row r="165" spans="10:12" s="28" customFormat="1" ht="12.75">
      <c r="J165" s="105"/>
      <c r="K165" s="116"/>
      <c r="L165" s="116"/>
    </row>
    <row r="166" spans="10:12" s="28" customFormat="1" ht="12.75">
      <c r="J166" s="105"/>
      <c r="K166" s="116"/>
      <c r="L166" s="116"/>
    </row>
    <row r="167" spans="10:12" s="28" customFormat="1" ht="12.75">
      <c r="J167" s="105"/>
      <c r="K167" s="116"/>
      <c r="L167" s="116"/>
    </row>
    <row r="168" spans="10:12" s="28" customFormat="1" ht="12.75">
      <c r="J168" s="105"/>
      <c r="K168" s="116"/>
      <c r="L168" s="116"/>
    </row>
    <row r="169" spans="10:12" s="28" customFormat="1" ht="12.75">
      <c r="J169" s="105"/>
      <c r="K169" s="116"/>
      <c r="L169" s="116"/>
    </row>
    <row r="170" spans="10:12" s="28" customFormat="1" ht="12.75">
      <c r="J170" s="105"/>
      <c r="K170" s="116"/>
      <c r="L170" s="116"/>
    </row>
    <row r="171" spans="10:12" s="28" customFormat="1" ht="12.75">
      <c r="J171" s="105"/>
      <c r="K171" s="116"/>
      <c r="L171" s="116"/>
    </row>
    <row r="172" spans="10:12" s="28" customFormat="1" ht="12.75">
      <c r="J172" s="105"/>
      <c r="K172" s="116"/>
      <c r="L172" s="116"/>
    </row>
    <row r="173" spans="10:12" s="28" customFormat="1" ht="12.75">
      <c r="J173" s="105"/>
      <c r="K173" s="116"/>
      <c r="L173" s="116"/>
    </row>
    <row r="174" spans="10:12" s="28" customFormat="1" ht="12.75">
      <c r="J174" s="105"/>
      <c r="K174" s="116"/>
      <c r="L174" s="116"/>
    </row>
    <row r="175" spans="10:12" s="28" customFormat="1" ht="12.75">
      <c r="J175" s="105"/>
      <c r="K175" s="116"/>
      <c r="L175" s="116"/>
    </row>
    <row r="176" spans="10:12" s="28" customFormat="1" ht="12.75">
      <c r="J176" s="105"/>
      <c r="K176" s="116"/>
      <c r="L176" s="116"/>
    </row>
    <row r="177" spans="10:12" s="28" customFormat="1" ht="12.75">
      <c r="J177" s="105"/>
      <c r="K177" s="116"/>
      <c r="L177" s="116"/>
    </row>
    <row r="178" spans="10:12" s="28" customFormat="1" ht="12.75">
      <c r="J178" s="105"/>
      <c r="K178" s="116"/>
      <c r="L178" s="116"/>
    </row>
    <row r="179" spans="10:12" s="28" customFormat="1" ht="12.75">
      <c r="J179" s="105"/>
      <c r="K179" s="116"/>
      <c r="L179" s="116"/>
    </row>
    <row r="180" spans="10:12" s="28" customFormat="1" ht="12.75">
      <c r="J180" s="105"/>
      <c r="K180" s="116"/>
      <c r="L180" s="116"/>
    </row>
    <row r="181" spans="10:12" s="28" customFormat="1" ht="12.75">
      <c r="J181" s="105"/>
      <c r="K181" s="116"/>
      <c r="L181" s="116"/>
    </row>
    <row r="182" spans="10:12" s="28" customFormat="1" ht="12.75">
      <c r="J182" s="105"/>
      <c r="K182" s="116"/>
      <c r="L182" s="116"/>
    </row>
    <row r="183" spans="10:12" s="28" customFormat="1" ht="12.75">
      <c r="J183" s="105"/>
      <c r="K183" s="116"/>
      <c r="L183" s="116"/>
    </row>
    <row r="184" spans="10:12" s="28" customFormat="1" ht="12.75">
      <c r="J184" s="105"/>
      <c r="K184" s="116"/>
      <c r="L184" s="116"/>
    </row>
    <row r="185" spans="10:12" s="28" customFormat="1" ht="12.75">
      <c r="J185" s="105"/>
      <c r="K185" s="116"/>
      <c r="L185" s="116"/>
    </row>
    <row r="186" spans="10:12" s="28" customFormat="1" ht="12.75">
      <c r="J186" s="105"/>
      <c r="K186" s="116"/>
      <c r="L186" s="116"/>
    </row>
    <row r="187" spans="10:12" s="28" customFormat="1" ht="12.75">
      <c r="J187" s="105"/>
      <c r="K187" s="116"/>
      <c r="L187" s="116"/>
    </row>
    <row r="188" spans="10:12" s="28" customFormat="1" ht="12.75">
      <c r="J188" s="105"/>
      <c r="K188" s="116"/>
      <c r="L188" s="116"/>
    </row>
    <row r="189" spans="10:12" s="28" customFormat="1" ht="12.75">
      <c r="J189" s="105"/>
      <c r="K189" s="116"/>
      <c r="L189" s="116"/>
    </row>
    <row r="190" spans="10:12" s="28" customFormat="1" ht="12.75">
      <c r="J190" s="105"/>
      <c r="K190" s="116"/>
      <c r="L190" s="116"/>
    </row>
    <row r="191" spans="10:12" s="28" customFormat="1" ht="12.75">
      <c r="J191" s="105"/>
      <c r="K191" s="116"/>
      <c r="L191" s="116"/>
    </row>
    <row r="192" spans="10:12" s="28" customFormat="1" ht="12.75">
      <c r="J192" s="105"/>
      <c r="K192" s="116"/>
      <c r="L192" s="116"/>
    </row>
    <row r="193" spans="10:12" s="28" customFormat="1" ht="12.75">
      <c r="J193" s="105"/>
      <c r="K193" s="116"/>
      <c r="L193" s="116"/>
    </row>
    <row r="194" spans="10:12" s="28" customFormat="1" ht="12.75">
      <c r="J194" s="105"/>
      <c r="K194" s="116"/>
      <c r="L194" s="116"/>
    </row>
    <row r="195" spans="10:12" s="28" customFormat="1" ht="12.75">
      <c r="J195" s="105"/>
      <c r="K195" s="116"/>
      <c r="L195" s="116"/>
    </row>
    <row r="196" spans="10:12" s="28" customFormat="1" ht="12.75">
      <c r="J196" s="105"/>
      <c r="K196" s="116"/>
      <c r="L196" s="116"/>
    </row>
    <row r="197" spans="10:12" s="28" customFormat="1" ht="12.75">
      <c r="J197" s="105"/>
      <c r="K197" s="116"/>
      <c r="L197" s="116"/>
    </row>
    <row r="198" spans="10:12" s="28" customFormat="1" ht="12.75">
      <c r="J198" s="105"/>
      <c r="K198" s="116"/>
      <c r="L198" s="116"/>
    </row>
    <row r="199" spans="10:12" s="28" customFormat="1" ht="12.75">
      <c r="J199" s="105"/>
      <c r="K199" s="116"/>
      <c r="L199" s="116"/>
    </row>
    <row r="200" spans="10:12" s="28" customFormat="1" ht="12.75">
      <c r="J200" s="105"/>
      <c r="K200" s="116"/>
      <c r="L200" s="116"/>
    </row>
    <row r="201" spans="10:12" s="28" customFormat="1" ht="12.75">
      <c r="J201" s="105"/>
      <c r="K201" s="116"/>
      <c r="L201" s="116"/>
    </row>
    <row r="202" spans="10:12" s="28" customFormat="1" ht="12.75">
      <c r="J202" s="105"/>
      <c r="K202" s="116"/>
      <c r="L202" s="116"/>
    </row>
    <row r="203" spans="10:12" s="28" customFormat="1" ht="12.75">
      <c r="J203" s="105"/>
      <c r="K203" s="116"/>
      <c r="L203" s="116"/>
    </row>
    <row r="204" spans="10:12" s="28" customFormat="1" ht="12.75">
      <c r="J204" s="105"/>
      <c r="K204" s="116"/>
      <c r="L204" s="116"/>
    </row>
    <row r="205" spans="10:12" s="28" customFormat="1" ht="12.75">
      <c r="J205" s="105"/>
      <c r="K205" s="116"/>
      <c r="L205" s="116"/>
    </row>
    <row r="206" spans="10:12" s="28" customFormat="1" ht="12.75">
      <c r="J206" s="105"/>
      <c r="K206" s="116"/>
      <c r="L206" s="116"/>
    </row>
    <row r="207" spans="10:12" s="28" customFormat="1" ht="12.75">
      <c r="J207" s="105"/>
      <c r="K207" s="116"/>
      <c r="L207" s="116"/>
    </row>
    <row r="208" spans="10:12" s="28" customFormat="1" ht="12.75">
      <c r="J208" s="105"/>
      <c r="K208" s="116"/>
      <c r="L208" s="116"/>
    </row>
    <row r="209" spans="10:12" s="28" customFormat="1" ht="12.75">
      <c r="J209" s="105"/>
      <c r="K209" s="116"/>
      <c r="L209" s="116"/>
    </row>
    <row r="210" spans="10:12" s="28" customFormat="1" ht="12.75">
      <c r="J210" s="105"/>
      <c r="K210" s="116"/>
      <c r="L210" s="116"/>
    </row>
    <row r="211" spans="10:12" s="28" customFormat="1" ht="12.75">
      <c r="J211" s="105"/>
      <c r="K211" s="116"/>
      <c r="L211" s="116"/>
    </row>
    <row r="212" spans="10:12" s="28" customFormat="1" ht="12.75">
      <c r="J212" s="105"/>
      <c r="K212" s="116"/>
      <c r="L212" s="116"/>
    </row>
    <row r="213" spans="10:12" s="28" customFormat="1" ht="12.75">
      <c r="J213" s="105"/>
      <c r="K213" s="116"/>
      <c r="L213" s="116"/>
    </row>
    <row r="214" spans="10:12" s="28" customFormat="1" ht="12.75">
      <c r="J214" s="105"/>
      <c r="K214" s="116"/>
      <c r="L214" s="116"/>
    </row>
    <row r="215" spans="10:12" s="28" customFormat="1" ht="12.75">
      <c r="J215" s="105"/>
      <c r="K215" s="116"/>
      <c r="L215" s="116"/>
    </row>
    <row r="216" spans="10:12" s="28" customFormat="1" ht="12.75">
      <c r="J216" s="105"/>
      <c r="K216" s="116"/>
      <c r="L216" s="116"/>
    </row>
    <row r="217" spans="10:12" s="28" customFormat="1" ht="12.75">
      <c r="J217" s="105"/>
      <c r="K217" s="116"/>
      <c r="L217" s="116"/>
    </row>
    <row r="218" spans="10:12" s="28" customFormat="1" ht="12.75">
      <c r="J218" s="105"/>
      <c r="K218" s="116"/>
      <c r="L218" s="116"/>
    </row>
    <row r="219" spans="10:12" s="28" customFormat="1" ht="12.75">
      <c r="J219" s="105"/>
      <c r="K219" s="116"/>
      <c r="L219" s="116"/>
    </row>
    <row r="220" spans="10:12" s="28" customFormat="1" ht="12.75">
      <c r="J220" s="105"/>
      <c r="K220" s="116"/>
      <c r="L220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M207"/>
  <sheetViews>
    <sheetView zoomScale="90" zoomScaleNormal="90" zoomScalePageLayoutView="0" workbookViewId="0" topLeftCell="A1">
      <pane ySplit="5" topLeftCell="A21" activePane="bottomLeft" state="frozen"/>
      <selection pane="topLeft" activeCell="A1" sqref="A1"/>
      <selection pane="bottomLeft" activeCell="A20" sqref="A20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3.7109375" style="0" hidden="1" customWidth="1"/>
    <col min="4" max="4" width="5.421875" style="154" hidden="1" customWidth="1"/>
    <col min="5" max="10" width="12.57421875" style="0" customWidth="1"/>
    <col min="11" max="11" width="8.8515625" style="98" customWidth="1"/>
    <col min="12" max="12" width="13.7109375" style="110" customWidth="1"/>
    <col min="13" max="13" width="8.421875" style="158" customWidth="1"/>
  </cols>
  <sheetData>
    <row r="3" ht="15">
      <c r="A3" s="192" t="s">
        <v>295</v>
      </c>
    </row>
    <row r="4" ht="11.25" customHeight="1" thickBot="1"/>
    <row r="5" spans="1:13" s="188" customFormat="1" ht="27" customHeight="1" thickBot="1">
      <c r="A5" s="176" t="s">
        <v>292</v>
      </c>
      <c r="B5" s="177" t="s">
        <v>17</v>
      </c>
      <c r="C5" s="177" t="s">
        <v>254</v>
      </c>
      <c r="D5" s="187" t="s">
        <v>301</v>
      </c>
      <c r="E5" s="179" t="s">
        <v>293</v>
      </c>
      <c r="F5" s="186" t="s">
        <v>294</v>
      </c>
      <c r="G5" s="181" t="s">
        <v>261</v>
      </c>
      <c r="H5" s="181" t="s">
        <v>262</v>
      </c>
      <c r="I5" s="181" t="s">
        <v>263</v>
      </c>
      <c r="J5" s="182" t="s">
        <v>264</v>
      </c>
      <c r="K5" s="183" t="s">
        <v>270</v>
      </c>
      <c r="L5" s="177" t="s">
        <v>280</v>
      </c>
      <c r="M5" s="184"/>
    </row>
    <row r="6" spans="1:13" s="28" customFormat="1" ht="12.75">
      <c r="A6" s="90" t="s">
        <v>1</v>
      </c>
      <c r="B6" s="190" t="s">
        <v>29</v>
      </c>
      <c r="C6" s="166" t="s">
        <v>31</v>
      </c>
      <c r="D6" s="159">
        <v>1.649</v>
      </c>
      <c r="E6" s="151">
        <v>250.8</v>
      </c>
      <c r="F6" s="32"/>
      <c r="G6" s="32"/>
      <c r="H6" s="32">
        <v>387.36</v>
      </c>
      <c r="I6" s="32"/>
      <c r="J6" s="33">
        <v>250</v>
      </c>
      <c r="K6" s="99" t="s">
        <v>271</v>
      </c>
      <c r="L6" s="145">
        <v>3204010046</v>
      </c>
      <c r="M6" s="115"/>
    </row>
    <row r="7" spans="1:13" s="28" customFormat="1" ht="12.75">
      <c r="A7" s="86" t="s">
        <v>2</v>
      </c>
      <c r="B7" s="191" t="s">
        <v>33</v>
      </c>
      <c r="C7" s="167" t="s">
        <v>32</v>
      </c>
      <c r="D7" s="155">
        <v>1.585</v>
      </c>
      <c r="E7" s="152">
        <v>159.62</v>
      </c>
      <c r="F7" s="37"/>
      <c r="G7" s="37"/>
      <c r="H7" s="37">
        <v>370.88</v>
      </c>
      <c r="I7" s="37"/>
      <c r="J7" s="38">
        <v>250</v>
      </c>
      <c r="K7" s="100" t="s">
        <v>271</v>
      </c>
      <c r="L7" s="146">
        <v>3204009691</v>
      </c>
      <c r="M7" s="115"/>
    </row>
    <row r="8" spans="1:13" s="28" customFormat="1" ht="12.75">
      <c r="A8" s="86" t="s">
        <v>3</v>
      </c>
      <c r="B8" s="191" t="s">
        <v>34</v>
      </c>
      <c r="C8" s="167" t="s">
        <v>35</v>
      </c>
      <c r="D8" s="155">
        <v>1.477</v>
      </c>
      <c r="E8" s="152"/>
      <c r="F8" s="37"/>
      <c r="G8" s="37"/>
      <c r="H8" s="37">
        <v>346.96</v>
      </c>
      <c r="I8" s="37"/>
      <c r="J8" s="38">
        <v>807</v>
      </c>
      <c r="K8" s="101" t="s">
        <v>272</v>
      </c>
      <c r="L8" s="146">
        <v>3220485615</v>
      </c>
      <c r="M8" s="115"/>
    </row>
    <row r="9" spans="1:13" s="28" customFormat="1" ht="12.75">
      <c r="A9" s="86" t="s">
        <v>4</v>
      </c>
      <c r="B9" s="191" t="s">
        <v>36</v>
      </c>
      <c r="C9" s="167" t="s">
        <v>37</v>
      </c>
      <c r="D9" s="155">
        <v>1.656</v>
      </c>
      <c r="E9" s="152">
        <v>258.67</v>
      </c>
      <c r="F9" s="37"/>
      <c r="G9" s="37"/>
      <c r="H9" s="37">
        <v>387.36</v>
      </c>
      <c r="I9" s="37"/>
      <c r="J9" s="38">
        <v>500</v>
      </c>
      <c r="K9" s="100" t="s">
        <v>271</v>
      </c>
      <c r="L9" s="146">
        <v>3204010214</v>
      </c>
      <c r="M9" s="115"/>
    </row>
    <row r="10" spans="1:13" s="28" customFormat="1" ht="12.75">
      <c r="A10" s="86" t="s">
        <v>5</v>
      </c>
      <c r="B10" s="191" t="s">
        <v>38</v>
      </c>
      <c r="C10" s="167" t="s">
        <v>39</v>
      </c>
      <c r="D10" s="155">
        <v>1.635</v>
      </c>
      <c r="E10" s="152"/>
      <c r="F10" s="37"/>
      <c r="G10" s="37"/>
      <c r="H10" s="37">
        <v>384.08</v>
      </c>
      <c r="I10" s="37"/>
      <c r="J10" s="38"/>
      <c r="K10" s="100" t="s">
        <v>271</v>
      </c>
      <c r="L10" s="146">
        <v>3204010327</v>
      </c>
      <c r="M10" s="115"/>
    </row>
    <row r="11" spans="1:13" s="28" customFormat="1" ht="12.75">
      <c r="A11" s="86" t="s">
        <v>6</v>
      </c>
      <c r="B11" s="191" t="s">
        <v>40</v>
      </c>
      <c r="C11" s="167" t="s">
        <v>41</v>
      </c>
      <c r="D11" s="155">
        <v>1.425</v>
      </c>
      <c r="E11" s="152"/>
      <c r="F11" s="37"/>
      <c r="G11" s="37"/>
      <c r="H11" s="37"/>
      <c r="I11" s="37">
        <v>728.01</v>
      </c>
      <c r="J11" s="38"/>
      <c r="K11" s="100" t="s">
        <v>271</v>
      </c>
      <c r="L11" s="146">
        <v>3204017738</v>
      </c>
      <c r="M11" s="115"/>
    </row>
    <row r="12" spans="1:13" s="28" customFormat="1" ht="12.75">
      <c r="A12" s="86" t="s">
        <v>7</v>
      </c>
      <c r="B12" s="191" t="s">
        <v>42</v>
      </c>
      <c r="C12" s="167" t="s">
        <v>43</v>
      </c>
      <c r="D12" s="155">
        <v>1.677</v>
      </c>
      <c r="E12" s="152">
        <v>261.95</v>
      </c>
      <c r="F12" s="37"/>
      <c r="G12" s="37"/>
      <c r="H12" s="37">
        <v>392.24</v>
      </c>
      <c r="I12" s="37"/>
      <c r="J12" s="38"/>
      <c r="K12" s="102" t="s">
        <v>271</v>
      </c>
      <c r="L12" s="146">
        <v>3204010476</v>
      </c>
      <c r="M12" s="115"/>
    </row>
    <row r="13" spans="1:13" s="28" customFormat="1" ht="12.75">
      <c r="A13" s="86" t="s">
        <v>8</v>
      </c>
      <c r="B13" s="191" t="s">
        <v>44</v>
      </c>
      <c r="C13" s="167" t="s">
        <v>45</v>
      </c>
      <c r="D13" s="155">
        <v>1.464</v>
      </c>
      <c r="E13" s="152">
        <v>225.67</v>
      </c>
      <c r="F13" s="37">
        <v>513.36</v>
      </c>
      <c r="G13" s="37"/>
      <c r="H13" s="37">
        <v>342.24</v>
      </c>
      <c r="I13" s="37"/>
      <c r="J13" s="38">
        <v>250</v>
      </c>
      <c r="K13" s="102" t="s">
        <v>271</v>
      </c>
      <c r="L13" s="146">
        <v>3204010484</v>
      </c>
      <c r="M13" s="115"/>
    </row>
    <row r="14" spans="1:13" s="28" customFormat="1" ht="12.75">
      <c r="A14" s="86" t="s">
        <v>9</v>
      </c>
      <c r="B14" s="191" t="s">
        <v>250</v>
      </c>
      <c r="C14" s="167" t="s">
        <v>46</v>
      </c>
      <c r="D14" s="155">
        <v>1.505</v>
      </c>
      <c r="E14" s="152"/>
      <c r="F14" s="37"/>
      <c r="G14" s="37"/>
      <c r="H14" s="37">
        <v>334.72</v>
      </c>
      <c r="I14" s="37"/>
      <c r="J14" s="38">
        <v>600</v>
      </c>
      <c r="K14" s="102" t="s">
        <v>271</v>
      </c>
      <c r="L14" s="146">
        <v>3204035547</v>
      </c>
      <c r="M14" s="115"/>
    </row>
    <row r="15" spans="1:13" s="28" customFormat="1" ht="12.75">
      <c r="A15" s="86" t="s">
        <v>30</v>
      </c>
      <c r="B15" s="191" t="s">
        <v>47</v>
      </c>
      <c r="C15" s="167" t="s">
        <v>48</v>
      </c>
      <c r="D15" s="155">
        <v>1.425</v>
      </c>
      <c r="E15" s="152">
        <v>439.32</v>
      </c>
      <c r="F15" s="37"/>
      <c r="G15" s="37"/>
      <c r="H15" s="37">
        <v>333.28</v>
      </c>
      <c r="I15" s="37"/>
      <c r="J15" s="38"/>
      <c r="K15" s="102" t="s">
        <v>271</v>
      </c>
      <c r="L15" s="146">
        <v>3204016384</v>
      </c>
      <c r="M15" s="115"/>
    </row>
    <row r="16" spans="1:13" s="203" customFormat="1" ht="12.75">
      <c r="A16" s="193" t="s">
        <v>10</v>
      </c>
      <c r="B16" s="194" t="s">
        <v>49</v>
      </c>
      <c r="C16" s="195" t="s">
        <v>50</v>
      </c>
      <c r="D16" s="196">
        <v>1.408</v>
      </c>
      <c r="E16" s="197"/>
      <c r="F16" s="198"/>
      <c r="G16" s="198"/>
      <c r="H16" s="198">
        <v>329.29</v>
      </c>
      <c r="I16" s="198"/>
      <c r="J16" s="199">
        <v>650</v>
      </c>
      <c r="K16" s="200" t="s">
        <v>271</v>
      </c>
      <c r="L16" s="201">
        <v>3203991914</v>
      </c>
      <c r="M16" s="202"/>
    </row>
    <row r="17" spans="1:13" s="28" customFormat="1" ht="12.75">
      <c r="A17" s="86" t="s">
        <v>11</v>
      </c>
      <c r="B17" s="191" t="s">
        <v>51</v>
      </c>
      <c r="C17" s="167" t="s">
        <v>52</v>
      </c>
      <c r="D17" s="155">
        <v>1.505</v>
      </c>
      <c r="E17" s="152"/>
      <c r="F17" s="37"/>
      <c r="G17" s="37"/>
      <c r="H17" s="37">
        <v>324.64</v>
      </c>
      <c r="I17" s="37"/>
      <c r="J17" s="38">
        <v>650</v>
      </c>
      <c r="K17" s="102" t="s">
        <v>273</v>
      </c>
      <c r="L17" s="146">
        <v>3226742777</v>
      </c>
      <c r="M17" s="115"/>
    </row>
    <row r="18" spans="1:13" s="28" customFormat="1" ht="12.75">
      <c r="A18" s="86" t="s">
        <v>12</v>
      </c>
      <c r="B18" s="191" t="s">
        <v>251</v>
      </c>
      <c r="C18" s="167" t="s">
        <v>53</v>
      </c>
      <c r="D18" s="155">
        <v>1.324</v>
      </c>
      <c r="E18" s="152"/>
      <c r="F18" s="37"/>
      <c r="G18" s="37"/>
      <c r="H18" s="37">
        <v>310.96</v>
      </c>
      <c r="I18" s="37"/>
      <c r="J18" s="38">
        <v>650</v>
      </c>
      <c r="K18" s="102" t="s">
        <v>274</v>
      </c>
      <c r="L18" s="146">
        <v>3201084947</v>
      </c>
      <c r="M18" s="115"/>
    </row>
    <row r="19" spans="1:13" s="28" customFormat="1" ht="12.75">
      <c r="A19" s="86" t="s">
        <v>13</v>
      </c>
      <c r="B19" s="191" t="s">
        <v>54</v>
      </c>
      <c r="C19" s="167" t="s">
        <v>55</v>
      </c>
      <c r="D19" s="155">
        <v>1.37</v>
      </c>
      <c r="E19" s="152">
        <v>205.55</v>
      </c>
      <c r="F19" s="37"/>
      <c r="G19" s="37"/>
      <c r="H19" s="37">
        <v>320.4</v>
      </c>
      <c r="I19" s="37"/>
      <c r="J19" s="38">
        <v>600</v>
      </c>
      <c r="K19" s="102" t="s">
        <v>271</v>
      </c>
      <c r="L19" s="146">
        <v>3207503041</v>
      </c>
      <c r="M19" s="115"/>
    </row>
    <row r="20" spans="1:13" s="28" customFormat="1" ht="12.75">
      <c r="A20" s="86" t="s">
        <v>14</v>
      </c>
      <c r="B20" s="191" t="s">
        <v>56</v>
      </c>
      <c r="C20" s="167" t="s">
        <v>57</v>
      </c>
      <c r="D20" s="155">
        <v>1.656</v>
      </c>
      <c r="E20" s="152"/>
      <c r="F20" s="37"/>
      <c r="G20" s="37"/>
      <c r="H20" s="37"/>
      <c r="I20" s="37">
        <v>846.02</v>
      </c>
      <c r="J20" s="38"/>
      <c r="K20" s="102" t="s">
        <v>271</v>
      </c>
      <c r="L20" s="146">
        <v>3204074301</v>
      </c>
      <c r="M20" s="115"/>
    </row>
    <row r="21" spans="1:13" s="28" customFormat="1" ht="12.75">
      <c r="A21" s="86" t="s">
        <v>15</v>
      </c>
      <c r="B21" s="191" t="s">
        <v>102</v>
      </c>
      <c r="C21" s="167" t="s">
        <v>103</v>
      </c>
      <c r="D21" s="155">
        <v>1.335</v>
      </c>
      <c r="E21" s="152">
        <v>274.38</v>
      </c>
      <c r="F21" s="37"/>
      <c r="G21" s="37"/>
      <c r="H21" s="37">
        <v>315.2</v>
      </c>
      <c r="I21" s="37"/>
      <c r="J21" s="38">
        <v>250</v>
      </c>
      <c r="K21" s="102" t="s">
        <v>275</v>
      </c>
      <c r="L21" s="146">
        <v>3223516627</v>
      </c>
      <c r="M21" s="115"/>
    </row>
    <row r="22" spans="1:13" s="28" customFormat="1" ht="12.75">
      <c r="A22" s="86" t="s">
        <v>16</v>
      </c>
      <c r="B22" s="191" t="s">
        <v>252</v>
      </c>
      <c r="C22" s="167" t="s">
        <v>62</v>
      </c>
      <c r="D22" s="155">
        <v>1.322</v>
      </c>
      <c r="E22" s="152"/>
      <c r="F22" s="37"/>
      <c r="G22" s="37"/>
      <c r="H22" s="37"/>
      <c r="I22" s="37">
        <v>1008.48</v>
      </c>
      <c r="J22" s="38">
        <v>810</v>
      </c>
      <c r="K22" s="102" t="s">
        <v>271</v>
      </c>
      <c r="L22" s="146">
        <v>3209826266</v>
      </c>
      <c r="M22" s="115"/>
    </row>
    <row r="23" spans="1:13" s="28" customFormat="1" ht="12.75">
      <c r="A23" s="86" t="s">
        <v>58</v>
      </c>
      <c r="B23" s="191" t="s">
        <v>64</v>
      </c>
      <c r="C23" s="167" t="s">
        <v>65</v>
      </c>
      <c r="D23" s="155">
        <v>1.316</v>
      </c>
      <c r="E23" s="152"/>
      <c r="F23" s="37"/>
      <c r="G23" s="37"/>
      <c r="H23" s="37">
        <v>307.44</v>
      </c>
      <c r="I23" s="37"/>
      <c r="J23" s="38">
        <v>600</v>
      </c>
      <c r="K23" s="102" t="s">
        <v>271</v>
      </c>
      <c r="L23" s="146">
        <v>3206487143</v>
      </c>
      <c r="M23" s="115"/>
    </row>
    <row r="24" spans="1:13" s="28" customFormat="1" ht="12.75">
      <c r="A24" s="86" t="s">
        <v>61</v>
      </c>
      <c r="B24" s="191" t="s">
        <v>67</v>
      </c>
      <c r="C24" s="167" t="s">
        <v>68</v>
      </c>
      <c r="D24" s="155">
        <v>1.316</v>
      </c>
      <c r="E24" s="152"/>
      <c r="F24" s="37"/>
      <c r="G24" s="37">
        <v>300.14</v>
      </c>
      <c r="H24" s="37">
        <v>307.44</v>
      </c>
      <c r="I24" s="37">
        <v>668.75</v>
      </c>
      <c r="J24" s="38">
        <v>830</v>
      </c>
      <c r="K24" s="102" t="s">
        <v>276</v>
      </c>
      <c r="L24" s="146">
        <v>3251666018</v>
      </c>
      <c r="M24" s="115"/>
    </row>
    <row r="25" spans="1:13" s="28" customFormat="1" ht="12.75">
      <c r="A25" s="86" t="s">
        <v>63</v>
      </c>
      <c r="B25" s="191" t="s">
        <v>70</v>
      </c>
      <c r="C25" s="167" t="s">
        <v>71</v>
      </c>
      <c r="D25" s="155">
        <v>1.322</v>
      </c>
      <c r="E25" s="152"/>
      <c r="F25" s="37"/>
      <c r="G25" s="37"/>
      <c r="H25" s="37">
        <v>309.12</v>
      </c>
      <c r="I25" s="37"/>
      <c r="J25" s="38">
        <v>650</v>
      </c>
      <c r="K25" s="102" t="s">
        <v>271</v>
      </c>
      <c r="L25" s="146">
        <v>3209339880</v>
      </c>
      <c r="M25" s="115"/>
    </row>
    <row r="26" spans="1:13" s="28" customFormat="1" ht="12.75">
      <c r="A26" s="86" t="s">
        <v>66</v>
      </c>
      <c r="B26" s="191" t="s">
        <v>73</v>
      </c>
      <c r="C26" s="167" t="s">
        <v>74</v>
      </c>
      <c r="D26" s="155">
        <v>1.656</v>
      </c>
      <c r="E26" s="152">
        <v>340.35</v>
      </c>
      <c r="F26" s="37"/>
      <c r="G26" s="37"/>
      <c r="H26" s="37">
        <v>387.36</v>
      </c>
      <c r="I26" s="37"/>
      <c r="J26" s="38">
        <v>768</v>
      </c>
      <c r="K26" s="102" t="s">
        <v>271</v>
      </c>
      <c r="L26" s="146">
        <v>3204051514</v>
      </c>
      <c r="M26" s="115"/>
    </row>
    <row r="27" spans="1:13" s="28" customFormat="1" ht="12.75">
      <c r="A27" s="86" t="s">
        <v>69</v>
      </c>
      <c r="B27" s="191" t="s">
        <v>239</v>
      </c>
      <c r="C27" s="167" t="s">
        <v>76</v>
      </c>
      <c r="D27" s="155">
        <v>1.582</v>
      </c>
      <c r="E27" s="152">
        <v>637.28</v>
      </c>
      <c r="F27" s="37"/>
      <c r="G27" s="37"/>
      <c r="H27" s="37">
        <v>369.92</v>
      </c>
      <c r="I27" s="37"/>
      <c r="J27" s="38">
        <v>250</v>
      </c>
      <c r="K27" s="102" t="s">
        <v>271</v>
      </c>
      <c r="L27" s="146">
        <v>3204010298</v>
      </c>
      <c r="M27" s="115"/>
    </row>
    <row r="28" spans="1:13" s="28" customFormat="1" ht="12.75">
      <c r="A28" s="86" t="s">
        <v>72</v>
      </c>
      <c r="B28" s="191" t="s">
        <v>78</v>
      </c>
      <c r="C28" s="167" t="s">
        <v>79</v>
      </c>
      <c r="D28" s="155">
        <v>1.696</v>
      </c>
      <c r="E28" s="152">
        <v>390.4</v>
      </c>
      <c r="F28" s="37"/>
      <c r="G28" s="37">
        <v>154.71</v>
      </c>
      <c r="H28" s="37">
        <v>396.72</v>
      </c>
      <c r="I28" s="37"/>
      <c r="J28" s="38"/>
      <c r="K28" s="102" t="s">
        <v>271</v>
      </c>
      <c r="L28" s="146">
        <v>3214138674</v>
      </c>
      <c r="M28" s="115"/>
    </row>
    <row r="29" spans="1:13" s="28" customFormat="1" ht="12.75">
      <c r="A29" s="86" t="s">
        <v>75</v>
      </c>
      <c r="B29" s="191" t="s">
        <v>81</v>
      </c>
      <c r="C29" s="167" t="s">
        <v>82</v>
      </c>
      <c r="D29" s="155">
        <v>1.685</v>
      </c>
      <c r="E29" s="152"/>
      <c r="F29" s="37"/>
      <c r="G29" s="37"/>
      <c r="H29" s="37">
        <v>366.64</v>
      </c>
      <c r="I29" s="37"/>
      <c r="J29" s="38"/>
      <c r="K29" s="102" t="s">
        <v>274</v>
      </c>
      <c r="L29" s="146">
        <v>3201085021</v>
      </c>
      <c r="M29" s="115"/>
    </row>
    <row r="30" spans="1:13" s="28" customFormat="1" ht="12.75">
      <c r="A30" s="86" t="s">
        <v>77</v>
      </c>
      <c r="B30" s="191" t="s">
        <v>84</v>
      </c>
      <c r="C30" s="167" t="s">
        <v>85</v>
      </c>
      <c r="D30" s="155">
        <v>1.296</v>
      </c>
      <c r="E30" s="152"/>
      <c r="F30" s="37"/>
      <c r="G30" s="37">
        <f>D30*5108.84/174</f>
        <v>38.05204965517242</v>
      </c>
      <c r="H30" s="37">
        <v>306.08</v>
      </c>
      <c r="I30" s="37"/>
      <c r="J30" s="38">
        <v>500</v>
      </c>
      <c r="K30" s="102" t="s">
        <v>276</v>
      </c>
      <c r="L30" s="146">
        <v>3251589993</v>
      </c>
      <c r="M30" s="115"/>
    </row>
    <row r="31" spans="1:13" s="28" customFormat="1" ht="12.75">
      <c r="A31" s="86" t="s">
        <v>80</v>
      </c>
      <c r="B31" s="191" t="s">
        <v>87</v>
      </c>
      <c r="C31" s="167" t="s">
        <v>88</v>
      </c>
      <c r="D31" s="155">
        <v>1.649</v>
      </c>
      <c r="E31" s="152">
        <v>88.12</v>
      </c>
      <c r="F31" s="37"/>
      <c r="G31" s="37"/>
      <c r="H31" s="37">
        <v>385.68</v>
      </c>
      <c r="I31" s="37"/>
      <c r="J31" s="38"/>
      <c r="K31" s="102" t="s">
        <v>274</v>
      </c>
      <c r="L31" s="146">
        <v>3201084963</v>
      </c>
      <c r="M31" s="115"/>
    </row>
    <row r="32" spans="1:13" s="28" customFormat="1" ht="12.75">
      <c r="A32" s="86" t="s">
        <v>83</v>
      </c>
      <c r="B32" s="191" t="s">
        <v>90</v>
      </c>
      <c r="C32" s="167" t="s">
        <v>91</v>
      </c>
      <c r="D32" s="155">
        <v>1.67</v>
      </c>
      <c r="E32" s="152">
        <v>494.25</v>
      </c>
      <c r="F32" s="37">
        <v>585.96</v>
      </c>
      <c r="G32" s="37"/>
      <c r="H32" s="37">
        <v>366.64</v>
      </c>
      <c r="I32" s="37"/>
      <c r="J32" s="38"/>
      <c r="K32" s="102" t="s">
        <v>271</v>
      </c>
      <c r="L32" s="146">
        <v>3207034652</v>
      </c>
      <c r="M32" s="115"/>
    </row>
    <row r="33" spans="1:13" s="28" customFormat="1" ht="12.75">
      <c r="A33" s="86" t="s">
        <v>86</v>
      </c>
      <c r="B33" s="191" t="s">
        <v>94</v>
      </c>
      <c r="C33" s="167" t="s">
        <v>95</v>
      </c>
      <c r="D33" s="155">
        <v>1.54</v>
      </c>
      <c r="E33" s="152">
        <v>379.82</v>
      </c>
      <c r="F33" s="37"/>
      <c r="G33" s="37"/>
      <c r="H33" s="37">
        <v>385.92</v>
      </c>
      <c r="I33" s="37"/>
      <c r="J33" s="38">
        <v>250</v>
      </c>
      <c r="K33" s="102" t="s">
        <v>271</v>
      </c>
      <c r="L33" s="146">
        <v>3203938809</v>
      </c>
      <c r="M33" s="115"/>
    </row>
    <row r="34" spans="1:13" s="28" customFormat="1" ht="12.75">
      <c r="A34" s="86" t="s">
        <v>89</v>
      </c>
      <c r="B34" s="191" t="s">
        <v>253</v>
      </c>
      <c r="C34" s="167" t="s">
        <v>97</v>
      </c>
      <c r="D34" s="155">
        <v>1.619</v>
      </c>
      <c r="E34" s="152">
        <v>79.86</v>
      </c>
      <c r="F34" s="37"/>
      <c r="G34" s="37"/>
      <c r="H34" s="37">
        <v>364.8</v>
      </c>
      <c r="I34" s="37"/>
      <c r="J34" s="38"/>
      <c r="K34" s="102" t="s">
        <v>274</v>
      </c>
      <c r="L34" s="146">
        <v>3201085064</v>
      </c>
      <c r="M34" s="115"/>
    </row>
    <row r="35" spans="1:13" s="28" customFormat="1" ht="12.75">
      <c r="A35" s="86" t="s">
        <v>92</v>
      </c>
      <c r="B35" s="191" t="s">
        <v>99</v>
      </c>
      <c r="C35" s="167" t="s">
        <v>100</v>
      </c>
      <c r="D35" s="155">
        <v>1.348</v>
      </c>
      <c r="E35" s="152">
        <v>426.66</v>
      </c>
      <c r="F35" s="37"/>
      <c r="G35" s="37">
        <v>491.91</v>
      </c>
      <c r="H35" s="37">
        <v>315.2</v>
      </c>
      <c r="I35" s="37"/>
      <c r="J35" s="38">
        <v>250</v>
      </c>
      <c r="K35" s="102" t="s">
        <v>275</v>
      </c>
      <c r="L35" s="146">
        <v>3238905542</v>
      </c>
      <c r="M35" s="115"/>
    </row>
    <row r="36" spans="1:13" s="28" customFormat="1" ht="12.75">
      <c r="A36" s="86" t="s">
        <v>93</v>
      </c>
      <c r="B36" s="191" t="s">
        <v>291</v>
      </c>
      <c r="C36" s="167" t="s">
        <v>106</v>
      </c>
      <c r="D36" s="155">
        <v>1.296</v>
      </c>
      <c r="E36" s="152">
        <v>199.77</v>
      </c>
      <c r="F36" s="37"/>
      <c r="G36" s="37">
        <v>413.82</v>
      </c>
      <c r="H36" s="37">
        <v>304.4</v>
      </c>
      <c r="I36" s="37"/>
      <c r="J36" s="37">
        <v>867</v>
      </c>
      <c r="K36" s="100" t="s">
        <v>275</v>
      </c>
      <c r="L36" s="146">
        <v>3223350187</v>
      </c>
      <c r="M36" s="115"/>
    </row>
    <row r="37" spans="1:13" s="28" customFormat="1" ht="12.75">
      <c r="A37" s="86" t="s">
        <v>96</v>
      </c>
      <c r="B37" s="191" t="s">
        <v>108</v>
      </c>
      <c r="C37" s="167" t="s">
        <v>109</v>
      </c>
      <c r="D37" s="155">
        <v>1.322</v>
      </c>
      <c r="E37" s="152"/>
      <c r="F37" s="37">
        <v>465.84</v>
      </c>
      <c r="G37" s="37"/>
      <c r="H37" s="37">
        <v>310.56</v>
      </c>
      <c r="I37" s="37"/>
      <c r="J37" s="37">
        <v>987</v>
      </c>
      <c r="K37" s="100" t="s">
        <v>274</v>
      </c>
      <c r="L37" s="146">
        <v>3201113074</v>
      </c>
      <c r="M37" s="115"/>
    </row>
    <row r="38" spans="1:13" s="28" customFormat="1" ht="12.75">
      <c r="A38" s="86" t="s">
        <v>98</v>
      </c>
      <c r="B38" s="191" t="s">
        <v>111</v>
      </c>
      <c r="C38" s="167" t="s">
        <v>112</v>
      </c>
      <c r="D38" s="155">
        <v>1.663</v>
      </c>
      <c r="E38" s="152">
        <v>355.46</v>
      </c>
      <c r="F38" s="37"/>
      <c r="G38" s="37"/>
      <c r="H38" s="37">
        <v>366.64</v>
      </c>
      <c r="I38" s="37"/>
      <c r="J38" s="37">
        <v>250</v>
      </c>
      <c r="K38" s="100" t="s">
        <v>271</v>
      </c>
      <c r="L38" s="146">
        <v>3204010417</v>
      </c>
      <c r="M38" s="115"/>
    </row>
    <row r="39" spans="1:13" s="28" customFormat="1" ht="12.75">
      <c r="A39" s="86" t="s">
        <v>101</v>
      </c>
      <c r="B39" s="190" t="s">
        <v>114</v>
      </c>
      <c r="C39" s="161" t="s">
        <v>115</v>
      </c>
      <c r="D39" s="159">
        <v>1.559</v>
      </c>
      <c r="E39" s="151">
        <v>307.6</v>
      </c>
      <c r="F39" s="32"/>
      <c r="G39" s="32">
        <v>568.92</v>
      </c>
      <c r="H39" s="37">
        <v>366.16</v>
      </c>
      <c r="I39" s="37"/>
      <c r="J39" s="37"/>
      <c r="K39" s="100" t="s">
        <v>271</v>
      </c>
      <c r="L39" s="146">
        <v>3204021743</v>
      </c>
      <c r="M39" s="115"/>
    </row>
    <row r="40" spans="1:13" s="28" customFormat="1" ht="12.75">
      <c r="A40" s="86" t="s">
        <v>104</v>
      </c>
      <c r="B40" s="191" t="s">
        <v>117</v>
      </c>
      <c r="C40" s="162" t="s">
        <v>118</v>
      </c>
      <c r="D40" s="155">
        <v>1.585</v>
      </c>
      <c r="E40" s="152">
        <v>364.85</v>
      </c>
      <c r="F40" s="37"/>
      <c r="G40" s="37"/>
      <c r="H40" s="37">
        <v>372.32</v>
      </c>
      <c r="I40" s="37"/>
      <c r="J40" s="37">
        <v>1316</v>
      </c>
      <c r="K40" s="100" t="s">
        <v>274</v>
      </c>
      <c r="L40" s="146">
        <v>3201085072</v>
      </c>
      <c r="M40" s="115"/>
    </row>
    <row r="41" spans="1:13" s="28" customFormat="1" ht="12.75">
      <c r="A41" s="86" t="s">
        <v>107</v>
      </c>
      <c r="B41" s="191" t="s">
        <v>120</v>
      </c>
      <c r="C41" s="162" t="s">
        <v>121</v>
      </c>
      <c r="D41" s="155">
        <v>1.316</v>
      </c>
      <c r="E41" s="152">
        <v>173.1</v>
      </c>
      <c r="F41" s="37"/>
      <c r="G41" s="37">
        <v>240.12</v>
      </c>
      <c r="H41" s="37">
        <v>309.12</v>
      </c>
      <c r="I41" s="37"/>
      <c r="J41" s="37">
        <v>250</v>
      </c>
      <c r="K41" s="100" t="s">
        <v>271</v>
      </c>
      <c r="L41" s="146">
        <v>3201227584</v>
      </c>
      <c r="M41" s="115"/>
    </row>
    <row r="42" spans="1:13" s="28" customFormat="1" ht="13.5" thickBot="1">
      <c r="A42" s="91" t="s">
        <v>110</v>
      </c>
      <c r="B42" s="191" t="s">
        <v>123</v>
      </c>
      <c r="C42" s="162" t="s">
        <v>124</v>
      </c>
      <c r="D42" s="155">
        <v>1.25</v>
      </c>
      <c r="E42" s="152">
        <v>69.72</v>
      </c>
      <c r="F42" s="37"/>
      <c r="G42" s="37"/>
      <c r="H42" s="37">
        <v>217.84</v>
      </c>
      <c r="I42" s="37"/>
      <c r="J42" s="37"/>
      <c r="K42" s="100" t="s">
        <v>271</v>
      </c>
      <c r="L42" s="146">
        <v>3213573925</v>
      </c>
      <c r="M42" s="115"/>
    </row>
    <row r="44" spans="1:13" s="28" customFormat="1" ht="12.75">
      <c r="A44" s="70"/>
      <c r="B44" s="71"/>
      <c r="C44" s="72"/>
      <c r="D44" s="189"/>
      <c r="E44" s="73"/>
      <c r="F44" s="73"/>
      <c r="G44" s="73"/>
      <c r="H44" s="73"/>
      <c r="I44" s="73"/>
      <c r="J44" s="73"/>
      <c r="K44" s="104"/>
      <c r="L44" s="115"/>
      <c r="M44" s="115"/>
    </row>
    <row r="45" spans="1:13" s="28" customFormat="1" ht="15">
      <c r="A45" s="215" t="s">
        <v>299</v>
      </c>
      <c r="B45" s="71"/>
      <c r="C45" s="72"/>
      <c r="D45" s="189"/>
      <c r="E45" s="73"/>
      <c r="F45" s="73"/>
      <c r="G45" s="73"/>
      <c r="H45" s="73"/>
      <c r="I45" s="73"/>
      <c r="J45" s="73"/>
      <c r="K45" s="104"/>
      <c r="L45" s="115"/>
      <c r="M45" s="115"/>
    </row>
    <row r="46" spans="1:13" s="28" customFormat="1" ht="13.5" thickBot="1">
      <c r="A46" s="70"/>
      <c r="B46" s="71"/>
      <c r="C46" s="72"/>
      <c r="D46" s="189"/>
      <c r="E46" s="73"/>
      <c r="F46" s="73"/>
      <c r="G46" s="73"/>
      <c r="H46" s="73"/>
      <c r="I46" s="73"/>
      <c r="J46" s="73"/>
      <c r="K46" s="104"/>
      <c r="L46" s="115"/>
      <c r="M46" s="115"/>
    </row>
    <row r="47" spans="1:13" s="188" customFormat="1" ht="27" customHeight="1" thickBot="1">
      <c r="A47" s="185" t="s">
        <v>292</v>
      </c>
      <c r="B47" s="177" t="s">
        <v>17</v>
      </c>
      <c r="C47" s="178" t="s">
        <v>254</v>
      </c>
      <c r="D47" s="187" t="s">
        <v>290</v>
      </c>
      <c r="E47" s="179" t="s">
        <v>293</v>
      </c>
      <c r="F47" s="180" t="s">
        <v>294</v>
      </c>
      <c r="G47" s="181" t="s">
        <v>261</v>
      </c>
      <c r="H47" s="181" t="s">
        <v>262</v>
      </c>
      <c r="I47" s="181" t="s">
        <v>263</v>
      </c>
      <c r="J47" s="182" t="s">
        <v>264</v>
      </c>
      <c r="K47" s="183" t="s">
        <v>270</v>
      </c>
      <c r="L47" s="177" t="s">
        <v>280</v>
      </c>
      <c r="M47" s="184"/>
    </row>
    <row r="48" spans="1:13" s="28" customFormat="1" ht="12.75">
      <c r="A48" s="160" t="s">
        <v>113</v>
      </c>
      <c r="B48" s="153" t="s">
        <v>126</v>
      </c>
      <c r="C48" s="162" t="s">
        <v>127</v>
      </c>
      <c r="D48" s="155">
        <v>1.635</v>
      </c>
      <c r="E48" s="152">
        <v>537.66</v>
      </c>
      <c r="F48" s="37">
        <v>288.06</v>
      </c>
      <c r="G48" s="37">
        <v>1759.2</v>
      </c>
      <c r="H48" s="37">
        <v>384.08</v>
      </c>
      <c r="I48" s="37"/>
      <c r="J48" s="38">
        <v>250</v>
      </c>
      <c r="K48" s="102" t="s">
        <v>271</v>
      </c>
      <c r="L48" s="146">
        <v>3206953335</v>
      </c>
      <c r="M48" s="115"/>
    </row>
    <row r="49" spans="1:13" s="28" customFormat="1" ht="12.75">
      <c r="A49" s="164" t="s">
        <v>116</v>
      </c>
      <c r="B49" s="163" t="s">
        <v>129</v>
      </c>
      <c r="C49" s="161" t="s">
        <v>130</v>
      </c>
      <c r="D49" s="159">
        <v>1.89</v>
      </c>
      <c r="E49" s="151">
        <v>598.21</v>
      </c>
      <c r="F49" s="32">
        <v>774.3</v>
      </c>
      <c r="G49" s="32"/>
      <c r="H49" s="32">
        <v>412.96</v>
      </c>
      <c r="I49" s="32"/>
      <c r="J49" s="33">
        <v>250</v>
      </c>
      <c r="K49" s="108" t="s">
        <v>274</v>
      </c>
      <c r="L49" s="145">
        <v>3201085013</v>
      </c>
      <c r="M49" s="115"/>
    </row>
    <row r="50" spans="1:13" s="28" customFormat="1" ht="12.75">
      <c r="A50" s="164" t="s">
        <v>119</v>
      </c>
      <c r="B50" s="153" t="s">
        <v>132</v>
      </c>
      <c r="C50" s="162" t="s">
        <v>133</v>
      </c>
      <c r="D50" s="155">
        <v>1.568</v>
      </c>
      <c r="E50" s="152"/>
      <c r="F50" s="37"/>
      <c r="G50" s="37"/>
      <c r="H50" s="37">
        <v>366.64</v>
      </c>
      <c r="I50" s="37"/>
      <c r="J50" s="38">
        <v>810</v>
      </c>
      <c r="K50" s="102" t="s">
        <v>271</v>
      </c>
      <c r="L50" s="146">
        <v>3204010409</v>
      </c>
      <c r="M50" s="115"/>
    </row>
    <row r="51" spans="1:13" s="28" customFormat="1" ht="12.75">
      <c r="A51" s="164" t="s">
        <v>122</v>
      </c>
      <c r="B51" s="153" t="s">
        <v>135</v>
      </c>
      <c r="C51" s="162" t="s">
        <v>136</v>
      </c>
      <c r="D51" s="155">
        <v>1.408</v>
      </c>
      <c r="E51" s="152">
        <v>127.33</v>
      </c>
      <c r="F51" s="37"/>
      <c r="G51" s="37"/>
      <c r="H51" s="37">
        <v>330.72</v>
      </c>
      <c r="I51" s="37"/>
      <c r="J51" s="38">
        <v>250</v>
      </c>
      <c r="K51" s="102" t="s">
        <v>271</v>
      </c>
      <c r="L51" s="146">
        <v>3206725631</v>
      </c>
      <c r="M51" s="115"/>
    </row>
    <row r="52" spans="1:13" s="28" customFormat="1" ht="12.75">
      <c r="A52" s="164" t="s">
        <v>125</v>
      </c>
      <c r="B52" s="153" t="s">
        <v>138</v>
      </c>
      <c r="C52" s="162" t="s">
        <v>139</v>
      </c>
      <c r="D52" s="155">
        <v>1.547</v>
      </c>
      <c r="E52" s="152"/>
      <c r="F52" s="37"/>
      <c r="G52" s="37"/>
      <c r="H52" s="37">
        <v>361.76</v>
      </c>
      <c r="I52" s="37"/>
      <c r="J52" s="38">
        <v>250</v>
      </c>
      <c r="K52" s="102" t="s">
        <v>271</v>
      </c>
      <c r="L52" s="146">
        <v>3204015058</v>
      </c>
      <c r="M52" s="115"/>
    </row>
    <row r="53" spans="1:13" s="203" customFormat="1" ht="12.75">
      <c r="A53" s="204" t="s">
        <v>128</v>
      </c>
      <c r="B53" s="205" t="s">
        <v>296</v>
      </c>
      <c r="C53" s="206" t="s">
        <v>142</v>
      </c>
      <c r="D53" s="196">
        <v>1.376</v>
      </c>
      <c r="E53" s="197">
        <v>79.19</v>
      </c>
      <c r="F53" s="198"/>
      <c r="G53" s="198"/>
      <c r="H53" s="198">
        <v>232.93</v>
      </c>
      <c r="I53" s="198"/>
      <c r="J53" s="199"/>
      <c r="K53" s="200" t="s">
        <v>271</v>
      </c>
      <c r="L53" s="201">
        <v>3202927758</v>
      </c>
      <c r="M53" s="202"/>
    </row>
    <row r="54" spans="1:13" s="28" customFormat="1" ht="12.75">
      <c r="A54" s="164" t="s">
        <v>131</v>
      </c>
      <c r="B54" s="153" t="s">
        <v>145</v>
      </c>
      <c r="C54" s="162" t="s">
        <v>146</v>
      </c>
      <c r="D54" s="155">
        <v>1.561</v>
      </c>
      <c r="E54" s="152"/>
      <c r="F54" s="37"/>
      <c r="G54" s="37">
        <v>1424.09</v>
      </c>
      <c r="H54" s="37">
        <v>365.04</v>
      </c>
      <c r="I54" s="37"/>
      <c r="J54" s="38">
        <v>250</v>
      </c>
      <c r="K54" s="102" t="s">
        <v>271</v>
      </c>
      <c r="L54" s="146">
        <v>3203992312</v>
      </c>
      <c r="M54" s="115"/>
    </row>
    <row r="55" spans="1:13" s="28" customFormat="1" ht="12.75">
      <c r="A55" s="164" t="s">
        <v>134</v>
      </c>
      <c r="B55" s="153" t="s">
        <v>148</v>
      </c>
      <c r="C55" s="162" t="s">
        <v>149</v>
      </c>
      <c r="D55" s="155">
        <v>1.335</v>
      </c>
      <c r="E55" s="152">
        <v>120.73</v>
      </c>
      <c r="F55" s="37"/>
      <c r="G55" s="37">
        <v>974.4</v>
      </c>
      <c r="H55" s="37">
        <v>313.6</v>
      </c>
      <c r="I55" s="37"/>
      <c r="J55" s="38">
        <v>877</v>
      </c>
      <c r="K55" s="102" t="s">
        <v>277</v>
      </c>
      <c r="L55" s="146">
        <v>3206045226</v>
      </c>
      <c r="M55" s="115"/>
    </row>
    <row r="56" spans="1:13" s="28" customFormat="1" ht="12.75">
      <c r="A56" s="164" t="s">
        <v>137</v>
      </c>
      <c r="B56" s="153" t="s">
        <v>151</v>
      </c>
      <c r="C56" s="162" t="s">
        <v>152</v>
      </c>
      <c r="D56" s="155">
        <v>1.335</v>
      </c>
      <c r="E56" s="152"/>
      <c r="F56" s="37"/>
      <c r="G56" s="37"/>
      <c r="H56" s="37"/>
      <c r="I56" s="37"/>
      <c r="J56" s="38"/>
      <c r="K56" s="102" t="s">
        <v>273</v>
      </c>
      <c r="L56" s="146">
        <v>3234063231</v>
      </c>
      <c r="M56" s="115"/>
    </row>
    <row r="57" spans="1:13" s="28" customFormat="1" ht="12.75">
      <c r="A57" s="164" t="s">
        <v>140</v>
      </c>
      <c r="B57" s="153" t="s">
        <v>154</v>
      </c>
      <c r="C57" s="162" t="s">
        <v>155</v>
      </c>
      <c r="D57" s="155">
        <v>1.376</v>
      </c>
      <c r="E57" s="152">
        <v>361.99</v>
      </c>
      <c r="F57" s="37"/>
      <c r="G57" s="37"/>
      <c r="H57" s="37">
        <v>316.64</v>
      </c>
      <c r="I57" s="37"/>
      <c r="J57" s="38">
        <v>810</v>
      </c>
      <c r="K57" s="102" t="s">
        <v>271</v>
      </c>
      <c r="L57" s="146">
        <v>3204198345</v>
      </c>
      <c r="M57" s="115"/>
    </row>
    <row r="58" spans="1:13" s="28" customFormat="1" ht="12.75">
      <c r="A58" s="164" t="s">
        <v>143</v>
      </c>
      <c r="B58" s="153" t="s">
        <v>269</v>
      </c>
      <c r="C58" s="162" t="s">
        <v>281</v>
      </c>
      <c r="D58" s="155"/>
      <c r="E58" s="152"/>
      <c r="F58" s="37"/>
      <c r="G58" s="37"/>
      <c r="H58" s="37"/>
      <c r="I58" s="37"/>
      <c r="J58" s="38"/>
      <c r="K58" s="102" t="s">
        <v>271</v>
      </c>
      <c r="L58" s="146">
        <v>3204133135</v>
      </c>
      <c r="M58" s="115"/>
    </row>
    <row r="59" spans="1:13" s="28" customFormat="1" ht="12.75">
      <c r="A59" s="164" t="s">
        <v>144</v>
      </c>
      <c r="B59" s="153" t="s">
        <v>158</v>
      </c>
      <c r="C59" s="162" t="s">
        <v>159</v>
      </c>
      <c r="D59" s="155">
        <v>1.474</v>
      </c>
      <c r="E59" s="152"/>
      <c r="F59" s="37"/>
      <c r="G59" s="37"/>
      <c r="H59" s="37">
        <v>361.76</v>
      </c>
      <c r="I59" s="37"/>
      <c r="J59" s="38">
        <v>810</v>
      </c>
      <c r="K59" s="102" t="s">
        <v>273</v>
      </c>
      <c r="L59" s="146">
        <v>3234621398</v>
      </c>
      <c r="M59" s="115"/>
    </row>
    <row r="60" spans="1:13" s="28" customFormat="1" ht="12.75">
      <c r="A60" s="164" t="s">
        <v>147</v>
      </c>
      <c r="B60" s="153" t="s">
        <v>162</v>
      </c>
      <c r="C60" s="162" t="s">
        <v>163</v>
      </c>
      <c r="D60" s="155">
        <v>1.309</v>
      </c>
      <c r="E60" s="152"/>
      <c r="F60" s="37"/>
      <c r="G60" s="37"/>
      <c r="H60" s="37">
        <v>122.43</v>
      </c>
      <c r="I60" s="37"/>
      <c r="J60" s="38">
        <v>600</v>
      </c>
      <c r="K60" s="102" t="s">
        <v>271</v>
      </c>
      <c r="L60" s="146">
        <v>3204240808</v>
      </c>
      <c r="M60" s="115"/>
    </row>
    <row r="61" spans="1:13" s="28" customFormat="1" ht="12.75">
      <c r="A61" s="164" t="s">
        <v>150</v>
      </c>
      <c r="B61" s="153" t="s">
        <v>165</v>
      </c>
      <c r="C61" s="162" t="s">
        <v>166</v>
      </c>
      <c r="D61" s="155">
        <v>1.547</v>
      </c>
      <c r="E61" s="152"/>
      <c r="F61" s="37"/>
      <c r="G61" s="37">
        <v>1759.2</v>
      </c>
      <c r="H61" s="37">
        <v>72.35</v>
      </c>
      <c r="I61" s="37"/>
      <c r="J61" s="38"/>
      <c r="K61" s="102" t="s">
        <v>271</v>
      </c>
      <c r="L61" s="146">
        <v>3204197043</v>
      </c>
      <c r="M61" s="115"/>
    </row>
    <row r="62" spans="1:13" s="28" customFormat="1" ht="12.75">
      <c r="A62" s="164" t="s">
        <v>153</v>
      </c>
      <c r="B62" s="153" t="s">
        <v>168</v>
      </c>
      <c r="C62" s="162" t="s">
        <v>169</v>
      </c>
      <c r="D62" s="155">
        <v>1.408</v>
      </c>
      <c r="E62" s="152"/>
      <c r="F62" s="37"/>
      <c r="G62" s="37"/>
      <c r="H62" s="37">
        <v>65.86</v>
      </c>
      <c r="I62" s="37"/>
      <c r="J62" s="38">
        <v>768</v>
      </c>
      <c r="K62" s="102" t="s">
        <v>271</v>
      </c>
      <c r="L62" s="146">
        <v>3204079515</v>
      </c>
      <c r="M62" s="115"/>
    </row>
    <row r="63" spans="1:13" s="28" customFormat="1" ht="12.75">
      <c r="A63" s="164" t="s">
        <v>156</v>
      </c>
      <c r="B63" s="153" t="s">
        <v>171</v>
      </c>
      <c r="C63" s="162" t="s">
        <v>172</v>
      </c>
      <c r="D63" s="155">
        <v>1.322</v>
      </c>
      <c r="E63" s="152"/>
      <c r="F63" s="37">
        <v>687.6</v>
      </c>
      <c r="G63" s="37"/>
      <c r="H63" s="37">
        <v>270.48</v>
      </c>
      <c r="I63" s="37"/>
      <c r="J63" s="38">
        <v>650</v>
      </c>
      <c r="K63" s="102" t="s">
        <v>271</v>
      </c>
      <c r="L63" s="146">
        <v>3209023009</v>
      </c>
      <c r="M63" s="115"/>
    </row>
    <row r="64" spans="1:13" s="28" customFormat="1" ht="12.75">
      <c r="A64" s="164" t="s">
        <v>157</v>
      </c>
      <c r="B64" s="153" t="s">
        <v>174</v>
      </c>
      <c r="C64" s="162" t="s">
        <v>175</v>
      </c>
      <c r="D64" s="155">
        <v>1.054</v>
      </c>
      <c r="E64" s="152"/>
      <c r="F64" s="37"/>
      <c r="G64" s="37"/>
      <c r="H64" s="37">
        <v>246.64</v>
      </c>
      <c r="I64" s="37"/>
      <c r="J64" s="38"/>
      <c r="K64" s="102" t="s">
        <v>271</v>
      </c>
      <c r="L64" s="146">
        <v>3204010100</v>
      </c>
      <c r="M64" s="115"/>
    </row>
    <row r="65" spans="1:13" s="28" customFormat="1" ht="12.75">
      <c r="A65" s="164" t="s">
        <v>160</v>
      </c>
      <c r="B65" s="153" t="s">
        <v>180</v>
      </c>
      <c r="C65" s="162" t="s">
        <v>181</v>
      </c>
      <c r="D65" s="155">
        <v>0.688</v>
      </c>
      <c r="E65" s="152"/>
      <c r="F65" s="37"/>
      <c r="G65" s="37"/>
      <c r="H65" s="37">
        <v>160.88</v>
      </c>
      <c r="I65" s="37"/>
      <c r="J65" s="38">
        <v>250</v>
      </c>
      <c r="K65" s="102" t="s">
        <v>271</v>
      </c>
      <c r="L65" s="146">
        <v>3204016235</v>
      </c>
      <c r="M65" s="115"/>
    </row>
    <row r="66" spans="1:13" s="28" customFormat="1" ht="12.75">
      <c r="A66" s="164" t="s">
        <v>161</v>
      </c>
      <c r="B66" s="153" t="s">
        <v>183</v>
      </c>
      <c r="C66" s="162" t="s">
        <v>184</v>
      </c>
      <c r="D66" s="155">
        <v>0.182</v>
      </c>
      <c r="E66" s="152"/>
      <c r="F66" s="37"/>
      <c r="G66" s="37"/>
      <c r="H66" s="37"/>
      <c r="I66" s="37"/>
      <c r="J66" s="38"/>
      <c r="K66" s="102" t="s">
        <v>271</v>
      </c>
      <c r="L66" s="146">
        <v>3204072195</v>
      </c>
      <c r="M66" s="115"/>
    </row>
    <row r="67" spans="1:13" s="28" customFormat="1" ht="12.75">
      <c r="A67" s="164" t="s">
        <v>164</v>
      </c>
      <c r="B67" s="153" t="s">
        <v>186</v>
      </c>
      <c r="C67" s="162" t="s">
        <v>187</v>
      </c>
      <c r="D67" s="155">
        <v>0.332</v>
      </c>
      <c r="E67" s="152"/>
      <c r="F67" s="37"/>
      <c r="G67" s="37"/>
      <c r="H67" s="37">
        <v>77.2</v>
      </c>
      <c r="I67" s="37"/>
      <c r="J67" s="38"/>
      <c r="K67" s="102" t="s">
        <v>271</v>
      </c>
      <c r="L67" s="146">
        <v>3204079960</v>
      </c>
      <c r="M67" s="115"/>
    </row>
    <row r="68" spans="1:13" s="28" customFormat="1" ht="12.75">
      <c r="A68" s="164" t="s">
        <v>167</v>
      </c>
      <c r="B68" s="153" t="s">
        <v>189</v>
      </c>
      <c r="C68" s="162" t="s">
        <v>190</v>
      </c>
      <c r="D68" s="155">
        <v>0.701</v>
      </c>
      <c r="E68" s="152"/>
      <c r="F68" s="37"/>
      <c r="G68" s="37"/>
      <c r="H68" s="37">
        <v>163.92</v>
      </c>
      <c r="I68" s="37"/>
      <c r="J68" s="38">
        <v>250</v>
      </c>
      <c r="K68" s="102" t="s">
        <v>271</v>
      </c>
      <c r="L68" s="146">
        <v>3203970986</v>
      </c>
      <c r="M68" s="115"/>
    </row>
    <row r="69" spans="1:13" s="28" customFormat="1" ht="12.75">
      <c r="A69" s="164" t="s">
        <v>170</v>
      </c>
      <c r="B69" s="153" t="s">
        <v>192</v>
      </c>
      <c r="C69" s="162" t="s">
        <v>193</v>
      </c>
      <c r="D69" s="155">
        <v>0.67</v>
      </c>
      <c r="E69" s="152"/>
      <c r="F69" s="37"/>
      <c r="G69" s="37"/>
      <c r="H69" s="37">
        <v>156.64</v>
      </c>
      <c r="I69" s="37"/>
      <c r="J69" s="38">
        <v>250</v>
      </c>
      <c r="K69" s="102" t="s">
        <v>271</v>
      </c>
      <c r="L69" s="146">
        <v>3204067208</v>
      </c>
      <c r="M69" s="115"/>
    </row>
    <row r="70" spans="1:13" s="28" customFormat="1" ht="12.75">
      <c r="A70" s="164" t="s">
        <v>173</v>
      </c>
      <c r="B70" s="153" t="s">
        <v>195</v>
      </c>
      <c r="C70" s="162" t="s">
        <v>196</v>
      </c>
      <c r="D70" s="155">
        <v>0.657</v>
      </c>
      <c r="E70" s="152"/>
      <c r="F70" s="37"/>
      <c r="G70" s="37"/>
      <c r="H70" s="37">
        <v>154.32</v>
      </c>
      <c r="I70" s="37"/>
      <c r="J70" s="38">
        <v>250</v>
      </c>
      <c r="K70" s="102" t="s">
        <v>271</v>
      </c>
      <c r="L70" s="146">
        <v>3204142989</v>
      </c>
      <c r="M70" s="115"/>
    </row>
    <row r="71" spans="1:13" s="28" customFormat="1" ht="12.75">
      <c r="A71" s="164" t="s">
        <v>176</v>
      </c>
      <c r="B71" s="153" t="s">
        <v>198</v>
      </c>
      <c r="C71" s="162" t="s">
        <v>199</v>
      </c>
      <c r="D71" s="155">
        <v>0.67</v>
      </c>
      <c r="E71" s="152"/>
      <c r="F71" s="37"/>
      <c r="G71" s="37"/>
      <c r="H71" s="37"/>
      <c r="I71" s="37"/>
      <c r="J71" s="38">
        <v>600</v>
      </c>
      <c r="K71" s="102" t="s">
        <v>271</v>
      </c>
      <c r="L71" s="146">
        <v>3209666848</v>
      </c>
      <c r="M71" s="115"/>
    </row>
    <row r="72" spans="1:13" s="28" customFormat="1" ht="12.75">
      <c r="A72" s="164" t="s">
        <v>179</v>
      </c>
      <c r="B72" s="153" t="s">
        <v>201</v>
      </c>
      <c r="C72" s="162" t="s">
        <v>202</v>
      </c>
      <c r="D72" s="155">
        <v>0.159</v>
      </c>
      <c r="E72" s="152"/>
      <c r="F72" s="37"/>
      <c r="G72" s="37"/>
      <c r="H72" s="37"/>
      <c r="I72" s="37"/>
      <c r="J72" s="38"/>
      <c r="K72" s="102" t="s">
        <v>271</v>
      </c>
      <c r="L72" s="146">
        <v>3212211696</v>
      </c>
      <c r="M72" s="115"/>
    </row>
    <row r="73" spans="1:13" s="28" customFormat="1" ht="12.75">
      <c r="A73" s="164" t="s">
        <v>182</v>
      </c>
      <c r="B73" s="153" t="s">
        <v>204</v>
      </c>
      <c r="C73" s="162" t="s">
        <v>205</v>
      </c>
      <c r="D73" s="155">
        <v>0.88</v>
      </c>
      <c r="E73" s="152"/>
      <c r="F73" s="37"/>
      <c r="G73" s="37"/>
      <c r="H73" s="37">
        <v>206.72</v>
      </c>
      <c r="I73" s="37"/>
      <c r="J73" s="38">
        <v>850</v>
      </c>
      <c r="K73" s="102" t="s">
        <v>271</v>
      </c>
      <c r="L73" s="146">
        <v>3204034361</v>
      </c>
      <c r="M73" s="115"/>
    </row>
    <row r="74" spans="1:13" s="28" customFormat="1" ht="12.75">
      <c r="A74" s="164" t="s">
        <v>185</v>
      </c>
      <c r="B74" s="153" t="s">
        <v>207</v>
      </c>
      <c r="C74" s="162" t="s">
        <v>208</v>
      </c>
      <c r="D74" s="155">
        <v>0.688</v>
      </c>
      <c r="E74" s="152"/>
      <c r="F74" s="37"/>
      <c r="G74" s="37"/>
      <c r="H74" s="37">
        <v>160.88</v>
      </c>
      <c r="I74" s="37"/>
      <c r="J74" s="38">
        <v>250</v>
      </c>
      <c r="K74" s="165" t="s">
        <v>278</v>
      </c>
      <c r="L74" s="146">
        <v>3203218021</v>
      </c>
      <c r="M74" s="115"/>
    </row>
    <row r="75" spans="1:13" s="28" customFormat="1" ht="12.75">
      <c r="A75" s="164" t="s">
        <v>188</v>
      </c>
      <c r="B75" s="153" t="s">
        <v>210</v>
      </c>
      <c r="C75" s="162" t="s">
        <v>211</v>
      </c>
      <c r="D75" s="155">
        <v>1.395</v>
      </c>
      <c r="E75" s="152">
        <v>160.56</v>
      </c>
      <c r="F75" s="37"/>
      <c r="G75" s="37"/>
      <c r="H75" s="37">
        <v>326.24</v>
      </c>
      <c r="I75" s="37"/>
      <c r="J75" s="38">
        <v>250</v>
      </c>
      <c r="K75" s="102" t="s">
        <v>276</v>
      </c>
      <c r="L75" s="146">
        <v>3242020709</v>
      </c>
      <c r="M75" s="115"/>
    </row>
    <row r="76" spans="1:13" s="28" customFormat="1" ht="12.75">
      <c r="A76" s="164" t="s">
        <v>191</v>
      </c>
      <c r="B76" s="153" t="s">
        <v>213</v>
      </c>
      <c r="C76" s="162" t="s">
        <v>214</v>
      </c>
      <c r="D76" s="155">
        <v>1.329</v>
      </c>
      <c r="E76" s="152"/>
      <c r="F76" s="37"/>
      <c r="G76" s="37"/>
      <c r="H76" s="37">
        <v>310.56</v>
      </c>
      <c r="I76" s="37">
        <v>675.39</v>
      </c>
      <c r="J76" s="37"/>
      <c r="K76" s="100" t="s">
        <v>271</v>
      </c>
      <c r="L76" s="146">
        <v>3207325476</v>
      </c>
      <c r="M76" s="115"/>
    </row>
    <row r="77" spans="1:13" s="28" customFormat="1" ht="12.75">
      <c r="A77" s="164" t="s">
        <v>194</v>
      </c>
      <c r="B77" s="153" t="s">
        <v>216</v>
      </c>
      <c r="C77" s="162" t="s">
        <v>217</v>
      </c>
      <c r="D77" s="155">
        <v>1.335</v>
      </c>
      <c r="E77" s="152">
        <v>263.4</v>
      </c>
      <c r="F77" s="37"/>
      <c r="G77" s="37"/>
      <c r="H77" s="37">
        <v>312.16</v>
      </c>
      <c r="I77" s="37"/>
      <c r="J77" s="37">
        <v>250</v>
      </c>
      <c r="K77" s="100" t="s">
        <v>275</v>
      </c>
      <c r="L77" s="146">
        <v>3220513030</v>
      </c>
      <c r="M77" s="115"/>
    </row>
    <row r="78" spans="1:13" s="28" customFormat="1" ht="12.75">
      <c r="A78" s="164" t="s">
        <v>197</v>
      </c>
      <c r="B78" s="153" t="s">
        <v>221</v>
      </c>
      <c r="C78" s="162" t="s">
        <v>222</v>
      </c>
      <c r="D78" s="155">
        <v>1.309</v>
      </c>
      <c r="E78" s="152">
        <v>282.49</v>
      </c>
      <c r="F78" s="37"/>
      <c r="G78" s="37">
        <f>D78*5108.84/174</f>
        <v>38.43374459770115</v>
      </c>
      <c r="H78" s="37">
        <v>306.08</v>
      </c>
      <c r="I78" s="37"/>
      <c r="J78" s="37">
        <v>1956</v>
      </c>
      <c r="K78" s="100" t="s">
        <v>276</v>
      </c>
      <c r="L78" s="146">
        <v>3243353856</v>
      </c>
      <c r="M78" s="115"/>
    </row>
    <row r="79" spans="1:13" s="28" customFormat="1" ht="12.75">
      <c r="A79" s="164" t="s">
        <v>200</v>
      </c>
      <c r="B79" s="153" t="s">
        <v>224</v>
      </c>
      <c r="C79" s="162" t="s">
        <v>225</v>
      </c>
      <c r="D79" s="155">
        <v>2.3</v>
      </c>
      <c r="E79" s="152"/>
      <c r="F79" s="37"/>
      <c r="G79" s="37"/>
      <c r="H79" s="37"/>
      <c r="I79" s="37"/>
      <c r="J79" s="37">
        <v>810</v>
      </c>
      <c r="K79" s="100" t="s">
        <v>271</v>
      </c>
      <c r="L79" s="146">
        <v>3204010433</v>
      </c>
      <c r="M79" s="115"/>
    </row>
    <row r="80" spans="1:13" s="28" customFormat="1" ht="12.75">
      <c r="A80" s="164" t="s">
        <v>203</v>
      </c>
      <c r="B80" s="153" t="s">
        <v>227</v>
      </c>
      <c r="C80" s="162" t="s">
        <v>228</v>
      </c>
      <c r="D80" s="155">
        <v>1.466</v>
      </c>
      <c r="E80" s="152"/>
      <c r="F80" s="37"/>
      <c r="G80" s="37"/>
      <c r="H80" s="37"/>
      <c r="I80" s="37"/>
      <c r="J80" s="38">
        <v>250</v>
      </c>
      <c r="K80" s="102" t="s">
        <v>271</v>
      </c>
      <c r="L80" s="146">
        <v>3204010191</v>
      </c>
      <c r="M80" s="115"/>
    </row>
    <row r="81" spans="1:13" s="28" customFormat="1" ht="12.75">
      <c r="A81" s="164" t="s">
        <v>206</v>
      </c>
      <c r="B81" s="153" t="s">
        <v>230</v>
      </c>
      <c r="C81" s="162" t="s">
        <v>231</v>
      </c>
      <c r="D81" s="155">
        <v>1.277</v>
      </c>
      <c r="E81" s="152"/>
      <c r="F81" s="37"/>
      <c r="G81" s="37"/>
      <c r="H81" s="37"/>
      <c r="I81" s="37"/>
      <c r="J81" s="38">
        <v>250</v>
      </c>
      <c r="K81" s="102" t="s">
        <v>271</v>
      </c>
      <c r="L81" s="146">
        <v>3203942467</v>
      </c>
      <c r="M81" s="115"/>
    </row>
    <row r="82" spans="1:13" s="28" customFormat="1" ht="12.75">
      <c r="A82" s="164" t="s">
        <v>209</v>
      </c>
      <c r="B82" s="153" t="s">
        <v>289</v>
      </c>
      <c r="C82" s="162" t="s">
        <v>302</v>
      </c>
      <c r="D82" s="155"/>
      <c r="E82" s="152"/>
      <c r="F82" s="37"/>
      <c r="G82" s="37"/>
      <c r="H82" s="37"/>
      <c r="I82" s="37"/>
      <c r="J82" s="38"/>
      <c r="K82" s="102" t="s">
        <v>271</v>
      </c>
      <c r="L82" s="146"/>
      <c r="M82" s="115"/>
    </row>
    <row r="83" spans="1:13" s="28" customFormat="1" ht="12.75">
      <c r="A83" s="164" t="s">
        <v>212</v>
      </c>
      <c r="B83" s="153" t="s">
        <v>232</v>
      </c>
      <c r="C83" s="162" t="s">
        <v>233</v>
      </c>
      <c r="D83" s="155">
        <v>1.568</v>
      </c>
      <c r="E83" s="152"/>
      <c r="F83" s="37"/>
      <c r="G83" s="37"/>
      <c r="H83" s="37">
        <v>146.66</v>
      </c>
      <c r="I83" s="37"/>
      <c r="J83" s="38">
        <v>250</v>
      </c>
      <c r="K83" s="102" t="s">
        <v>271</v>
      </c>
      <c r="L83" s="146">
        <v>3203978191</v>
      </c>
      <c r="M83" s="115"/>
    </row>
    <row r="86" ht="15">
      <c r="A86" s="214" t="s">
        <v>299</v>
      </c>
    </row>
    <row r="87" ht="15.75" thickBot="1"/>
    <row r="88" spans="1:13" s="188" customFormat="1" ht="27" customHeight="1" thickBot="1">
      <c r="A88" s="217" t="s">
        <v>292</v>
      </c>
      <c r="B88" s="216" t="s">
        <v>17</v>
      </c>
      <c r="C88" s="177" t="s">
        <v>254</v>
      </c>
      <c r="D88" s="187" t="s">
        <v>290</v>
      </c>
      <c r="E88" s="179" t="s">
        <v>293</v>
      </c>
      <c r="F88" s="186" t="s">
        <v>294</v>
      </c>
      <c r="G88" s="181" t="s">
        <v>261</v>
      </c>
      <c r="H88" s="181" t="s">
        <v>262</v>
      </c>
      <c r="I88" s="181" t="s">
        <v>263</v>
      </c>
      <c r="J88" s="182" t="s">
        <v>264</v>
      </c>
      <c r="K88" s="183" t="s">
        <v>270</v>
      </c>
      <c r="L88" s="177" t="s">
        <v>280</v>
      </c>
      <c r="M88" s="184"/>
    </row>
    <row r="89" spans="1:13" s="28" customFormat="1" ht="12.75">
      <c r="A89" s="218" t="s">
        <v>215</v>
      </c>
      <c r="B89" s="191" t="s">
        <v>234</v>
      </c>
      <c r="C89" s="167" t="s">
        <v>235</v>
      </c>
      <c r="D89" s="155">
        <v>1.05</v>
      </c>
      <c r="E89" s="152"/>
      <c r="F89" s="37"/>
      <c r="G89" s="37"/>
      <c r="H89" s="37"/>
      <c r="I89" s="37"/>
      <c r="J89" s="38"/>
      <c r="K89" s="102" t="s">
        <v>271</v>
      </c>
      <c r="L89" s="146">
        <v>3204010505</v>
      </c>
      <c r="M89" s="115"/>
    </row>
    <row r="90" spans="1:13" s="28" customFormat="1" ht="12.75">
      <c r="A90" s="218" t="s">
        <v>218</v>
      </c>
      <c r="B90" s="191" t="s">
        <v>236</v>
      </c>
      <c r="C90" s="167" t="s">
        <v>237</v>
      </c>
      <c r="D90" s="155">
        <v>0.33</v>
      </c>
      <c r="E90" s="152"/>
      <c r="F90" s="37"/>
      <c r="G90" s="37"/>
      <c r="H90" s="37">
        <v>77.48</v>
      </c>
      <c r="I90" s="37"/>
      <c r="J90" s="38"/>
      <c r="K90" s="102" t="s">
        <v>271</v>
      </c>
      <c r="L90" s="146">
        <v>3204169869</v>
      </c>
      <c r="M90" s="115"/>
    </row>
    <row r="91" spans="1:13" s="28" customFormat="1" ht="12.75">
      <c r="A91" s="218" t="s">
        <v>219</v>
      </c>
      <c r="B91" s="191" t="s">
        <v>240</v>
      </c>
      <c r="C91" s="167" t="s">
        <v>241</v>
      </c>
      <c r="D91" s="155">
        <v>1.06</v>
      </c>
      <c r="E91" s="152">
        <v>244</v>
      </c>
      <c r="F91" s="37"/>
      <c r="G91" s="37"/>
      <c r="H91" s="37">
        <v>248.96</v>
      </c>
      <c r="I91" s="37"/>
      <c r="J91" s="38">
        <v>752</v>
      </c>
      <c r="K91" s="102" t="s">
        <v>271</v>
      </c>
      <c r="L91" s="146">
        <v>3205778577</v>
      </c>
      <c r="M91" s="115"/>
    </row>
    <row r="92" spans="1:13" s="28" customFormat="1" ht="12.75">
      <c r="A92" s="218" t="s">
        <v>220</v>
      </c>
      <c r="B92" s="191" t="s">
        <v>242</v>
      </c>
      <c r="C92" s="167" t="s">
        <v>243</v>
      </c>
      <c r="D92" s="155">
        <v>0.316</v>
      </c>
      <c r="E92" s="152"/>
      <c r="F92" s="37"/>
      <c r="G92" s="37"/>
      <c r="H92" s="37">
        <v>70.48</v>
      </c>
      <c r="I92" s="37"/>
      <c r="J92" s="38">
        <v>600</v>
      </c>
      <c r="K92" s="165" t="s">
        <v>279</v>
      </c>
      <c r="L92" s="146">
        <v>3200516734</v>
      </c>
      <c r="M92" s="115"/>
    </row>
    <row r="93" spans="1:13" s="28" customFormat="1" ht="12.75">
      <c r="A93" s="218" t="s">
        <v>223</v>
      </c>
      <c r="B93" s="191" t="s">
        <v>244</v>
      </c>
      <c r="C93" s="167" t="s">
        <v>245</v>
      </c>
      <c r="D93" s="155">
        <v>1.329</v>
      </c>
      <c r="E93" s="152"/>
      <c r="F93" s="37"/>
      <c r="G93" s="37"/>
      <c r="H93" s="37">
        <v>312.16</v>
      </c>
      <c r="I93" s="37">
        <v>233.19</v>
      </c>
      <c r="J93" s="38">
        <v>830</v>
      </c>
      <c r="K93" s="102" t="s">
        <v>271</v>
      </c>
      <c r="L93" s="146">
        <v>3204141898</v>
      </c>
      <c r="M93" s="115"/>
    </row>
    <row r="94" spans="1:13" s="28" customFormat="1" ht="12.75">
      <c r="A94" s="218" t="s">
        <v>226</v>
      </c>
      <c r="B94" s="191" t="s">
        <v>246</v>
      </c>
      <c r="C94" s="167" t="s">
        <v>247</v>
      </c>
      <c r="D94" s="155">
        <v>1.342</v>
      </c>
      <c r="E94" s="152"/>
      <c r="F94" s="37"/>
      <c r="G94" s="37"/>
      <c r="H94" s="37">
        <v>315.2</v>
      </c>
      <c r="I94" s="37"/>
      <c r="J94" s="38">
        <v>600</v>
      </c>
      <c r="K94" s="102" t="s">
        <v>275</v>
      </c>
      <c r="L94" s="146">
        <v>3221235503</v>
      </c>
      <c r="M94" s="115"/>
    </row>
    <row r="95" spans="1:13" s="28" customFormat="1" ht="12.75">
      <c r="A95" s="131" t="s">
        <v>229</v>
      </c>
      <c r="B95" s="191" t="s">
        <v>248</v>
      </c>
      <c r="C95" s="219" t="s">
        <v>249</v>
      </c>
      <c r="D95" s="157">
        <v>1.324</v>
      </c>
      <c r="E95" s="152">
        <v>198.65</v>
      </c>
      <c r="F95" s="37"/>
      <c r="G95" s="37"/>
      <c r="H95" s="37">
        <v>309.6</v>
      </c>
      <c r="I95" s="37"/>
      <c r="J95" s="38">
        <v>600</v>
      </c>
      <c r="K95" s="103" t="s">
        <v>275</v>
      </c>
      <c r="L95" s="147">
        <v>3223040861</v>
      </c>
      <c r="M95" s="115"/>
    </row>
    <row r="96" spans="1:12" s="28" customFormat="1" ht="12.75">
      <c r="A96" s="131" t="s">
        <v>297</v>
      </c>
      <c r="B96" s="83" t="s">
        <v>59</v>
      </c>
      <c r="C96" s="167"/>
      <c r="D96" s="221"/>
      <c r="E96" s="152"/>
      <c r="F96" s="37"/>
      <c r="G96" s="35"/>
      <c r="H96" s="37">
        <v>29.91</v>
      </c>
      <c r="I96" s="35"/>
      <c r="J96" s="38"/>
      <c r="K96" s="113" t="s">
        <v>271</v>
      </c>
      <c r="L96" s="113">
        <v>3212241738</v>
      </c>
    </row>
    <row r="97" spans="1:13" s="28" customFormat="1" ht="13.5" thickBot="1">
      <c r="A97" s="131" t="s">
        <v>300</v>
      </c>
      <c r="B97" s="81" t="s">
        <v>298</v>
      </c>
      <c r="C97" s="211" t="s">
        <v>303</v>
      </c>
      <c r="D97" s="209"/>
      <c r="E97" s="207"/>
      <c r="F97" s="148"/>
      <c r="G97" s="148"/>
      <c r="H97" s="148"/>
      <c r="I97" s="148"/>
      <c r="J97" s="208">
        <v>830</v>
      </c>
      <c r="K97" s="213" t="s">
        <v>271</v>
      </c>
      <c r="L97" s="210"/>
      <c r="M97" s="115"/>
    </row>
    <row r="98" spans="1:13" s="175" customFormat="1" ht="19.5" thickBot="1">
      <c r="A98" s="168"/>
      <c r="B98" s="169" t="s">
        <v>238</v>
      </c>
      <c r="C98" s="220"/>
      <c r="D98" s="170"/>
      <c r="E98" s="171">
        <f>SUM(E6:E95)</f>
        <v>9357.41</v>
      </c>
      <c r="F98" s="172">
        <f>SUM(F6:F95)</f>
        <v>3315.12</v>
      </c>
      <c r="G98" s="172">
        <f>SUM(G6:G95)</f>
        <v>8162.995794252873</v>
      </c>
      <c r="H98" s="172">
        <f>SUM(H6:H96)</f>
        <v>19765.55</v>
      </c>
      <c r="I98" s="172">
        <f>SUM(I6:I95)</f>
        <v>4159.84</v>
      </c>
      <c r="J98" s="94">
        <f>SUM(J6:J97)</f>
        <v>31538</v>
      </c>
      <c r="K98" s="212"/>
      <c r="L98" s="173"/>
      <c r="M98" s="174"/>
    </row>
    <row r="99" spans="4:13" s="28" customFormat="1" ht="12.75">
      <c r="D99" s="156"/>
      <c r="K99" s="105"/>
      <c r="L99" s="116"/>
      <c r="M99" s="115"/>
    </row>
    <row r="100" spans="4:13" s="28" customFormat="1" ht="12.75">
      <c r="D100" s="156"/>
      <c r="K100" s="105"/>
      <c r="L100" s="116"/>
      <c r="M100" s="115"/>
    </row>
    <row r="101" spans="4:13" s="28" customFormat="1" ht="12.75">
      <c r="D101" s="156"/>
      <c r="K101" s="105"/>
      <c r="L101" s="116"/>
      <c r="M101" s="115"/>
    </row>
    <row r="102" spans="4:13" s="28" customFormat="1" ht="12.75">
      <c r="D102" s="156"/>
      <c r="K102" s="105"/>
      <c r="L102" s="116"/>
      <c r="M102" s="115"/>
    </row>
    <row r="103" spans="4:13" s="28" customFormat="1" ht="12.75">
      <c r="D103" s="156"/>
      <c r="K103" s="105"/>
      <c r="L103" s="116"/>
      <c r="M103" s="115"/>
    </row>
    <row r="104" spans="4:13" s="28" customFormat="1" ht="12.75">
      <c r="D104" s="156"/>
      <c r="K104" s="105"/>
      <c r="L104" s="116"/>
      <c r="M104" s="115"/>
    </row>
    <row r="105" spans="4:13" s="28" customFormat="1" ht="12.75">
      <c r="D105" s="156"/>
      <c r="K105" s="105"/>
      <c r="L105" s="116"/>
      <c r="M105" s="115"/>
    </row>
    <row r="106" spans="4:13" s="28" customFormat="1" ht="12.75">
      <c r="D106" s="156"/>
      <c r="K106" s="105"/>
      <c r="L106" s="116"/>
      <c r="M106" s="115"/>
    </row>
    <row r="107" spans="4:13" s="28" customFormat="1" ht="12.75">
      <c r="D107" s="156"/>
      <c r="K107" s="105"/>
      <c r="L107" s="116"/>
      <c r="M107" s="115"/>
    </row>
    <row r="108" spans="4:13" s="28" customFormat="1" ht="12.75">
      <c r="D108" s="156"/>
      <c r="K108" s="105"/>
      <c r="L108" s="116"/>
      <c r="M108" s="115"/>
    </row>
    <row r="109" spans="4:13" s="28" customFormat="1" ht="12.75">
      <c r="D109" s="156"/>
      <c r="K109" s="105"/>
      <c r="L109" s="116"/>
      <c r="M109" s="115"/>
    </row>
    <row r="110" spans="4:13" s="28" customFormat="1" ht="12.75">
      <c r="D110" s="156"/>
      <c r="K110" s="105"/>
      <c r="L110" s="116"/>
      <c r="M110" s="115"/>
    </row>
    <row r="111" spans="4:13" s="28" customFormat="1" ht="12.75">
      <c r="D111" s="156"/>
      <c r="K111" s="105"/>
      <c r="L111" s="116"/>
      <c r="M111" s="115"/>
    </row>
    <row r="112" spans="4:13" s="28" customFormat="1" ht="12.75">
      <c r="D112" s="156"/>
      <c r="K112" s="105"/>
      <c r="L112" s="116"/>
      <c r="M112" s="115"/>
    </row>
    <row r="113" spans="4:13" s="28" customFormat="1" ht="12.75">
      <c r="D113" s="156"/>
      <c r="K113" s="105"/>
      <c r="L113" s="116"/>
      <c r="M113" s="115"/>
    </row>
    <row r="114" spans="4:13" s="28" customFormat="1" ht="12.75">
      <c r="D114" s="156"/>
      <c r="K114" s="105"/>
      <c r="L114" s="116"/>
      <c r="M114" s="115"/>
    </row>
    <row r="115" spans="4:13" s="28" customFormat="1" ht="12.75">
      <c r="D115" s="156"/>
      <c r="K115" s="105"/>
      <c r="L115" s="116"/>
      <c r="M115" s="115"/>
    </row>
    <row r="116" spans="4:13" s="28" customFormat="1" ht="12.75">
      <c r="D116" s="156"/>
      <c r="K116" s="105"/>
      <c r="L116" s="116"/>
      <c r="M116" s="115"/>
    </row>
    <row r="117" spans="4:13" s="28" customFormat="1" ht="12.75">
      <c r="D117" s="156"/>
      <c r="K117" s="105"/>
      <c r="L117" s="116"/>
      <c r="M117" s="115"/>
    </row>
    <row r="118" spans="4:13" s="28" customFormat="1" ht="12.75">
      <c r="D118" s="156"/>
      <c r="K118" s="105"/>
      <c r="L118" s="116"/>
      <c r="M118" s="115"/>
    </row>
    <row r="119" spans="4:13" s="28" customFormat="1" ht="12.75">
      <c r="D119" s="156"/>
      <c r="K119" s="105"/>
      <c r="L119" s="116"/>
      <c r="M119" s="115"/>
    </row>
    <row r="120" spans="4:13" s="28" customFormat="1" ht="12.75">
      <c r="D120" s="156"/>
      <c r="K120" s="105"/>
      <c r="L120" s="116"/>
      <c r="M120" s="115"/>
    </row>
    <row r="121" spans="4:13" s="28" customFormat="1" ht="12.75">
      <c r="D121" s="156"/>
      <c r="K121" s="105"/>
      <c r="L121" s="116"/>
      <c r="M121" s="115"/>
    </row>
    <row r="122" spans="4:13" s="28" customFormat="1" ht="12.75">
      <c r="D122" s="156"/>
      <c r="K122" s="105"/>
      <c r="L122" s="116"/>
      <c r="M122" s="115"/>
    </row>
    <row r="123" spans="4:13" s="28" customFormat="1" ht="12.75">
      <c r="D123" s="156"/>
      <c r="K123" s="105"/>
      <c r="L123" s="116"/>
      <c r="M123" s="115"/>
    </row>
    <row r="124" spans="4:13" s="28" customFormat="1" ht="12.75">
      <c r="D124" s="156"/>
      <c r="K124" s="105"/>
      <c r="L124" s="116"/>
      <c r="M124" s="115"/>
    </row>
    <row r="125" spans="4:13" s="28" customFormat="1" ht="12.75">
      <c r="D125" s="156"/>
      <c r="K125" s="105"/>
      <c r="L125" s="116"/>
      <c r="M125" s="115"/>
    </row>
    <row r="126" spans="4:13" s="28" customFormat="1" ht="12.75">
      <c r="D126" s="156"/>
      <c r="K126" s="105"/>
      <c r="L126" s="116"/>
      <c r="M126" s="115"/>
    </row>
    <row r="127" spans="4:13" s="28" customFormat="1" ht="12.75">
      <c r="D127" s="156"/>
      <c r="K127" s="105"/>
      <c r="L127" s="116"/>
      <c r="M127" s="115"/>
    </row>
    <row r="128" spans="4:13" s="28" customFormat="1" ht="12.75">
      <c r="D128" s="156"/>
      <c r="K128" s="105"/>
      <c r="L128" s="116"/>
      <c r="M128" s="115"/>
    </row>
    <row r="129" spans="4:13" s="28" customFormat="1" ht="12.75">
      <c r="D129" s="156"/>
      <c r="K129" s="105"/>
      <c r="L129" s="116"/>
      <c r="M129" s="115"/>
    </row>
    <row r="130" spans="4:13" s="28" customFormat="1" ht="12.75">
      <c r="D130" s="156"/>
      <c r="K130" s="105"/>
      <c r="L130" s="116"/>
      <c r="M130" s="115"/>
    </row>
    <row r="131" spans="4:13" s="28" customFormat="1" ht="12.75">
      <c r="D131" s="156"/>
      <c r="K131" s="105"/>
      <c r="L131" s="116"/>
      <c r="M131" s="115"/>
    </row>
    <row r="132" spans="4:13" s="28" customFormat="1" ht="12.75">
      <c r="D132" s="156"/>
      <c r="K132" s="105"/>
      <c r="L132" s="116"/>
      <c r="M132" s="115"/>
    </row>
    <row r="133" spans="4:13" s="28" customFormat="1" ht="12.75">
      <c r="D133" s="156"/>
      <c r="K133" s="105"/>
      <c r="L133" s="116"/>
      <c r="M133" s="115"/>
    </row>
    <row r="134" spans="4:13" s="28" customFormat="1" ht="12.75">
      <c r="D134" s="156"/>
      <c r="K134" s="105"/>
      <c r="L134" s="116"/>
      <c r="M134" s="115"/>
    </row>
    <row r="135" spans="4:13" s="28" customFormat="1" ht="12.75">
      <c r="D135" s="156"/>
      <c r="K135" s="105"/>
      <c r="L135" s="116"/>
      <c r="M135" s="115"/>
    </row>
    <row r="136" spans="4:13" s="28" customFormat="1" ht="12.75">
      <c r="D136" s="156"/>
      <c r="K136" s="105"/>
      <c r="L136" s="116"/>
      <c r="M136" s="115"/>
    </row>
    <row r="137" spans="4:13" s="28" customFormat="1" ht="12.75">
      <c r="D137" s="156"/>
      <c r="K137" s="105"/>
      <c r="L137" s="116"/>
      <c r="M137" s="115"/>
    </row>
    <row r="138" spans="4:13" s="28" customFormat="1" ht="12.75">
      <c r="D138" s="156"/>
      <c r="K138" s="105"/>
      <c r="L138" s="116"/>
      <c r="M138" s="115"/>
    </row>
    <row r="139" spans="4:13" s="28" customFormat="1" ht="12.75">
      <c r="D139" s="156"/>
      <c r="K139" s="105"/>
      <c r="L139" s="116"/>
      <c r="M139" s="115"/>
    </row>
    <row r="140" spans="4:13" s="28" customFormat="1" ht="12.75">
      <c r="D140" s="156"/>
      <c r="K140" s="105"/>
      <c r="L140" s="116"/>
      <c r="M140" s="115"/>
    </row>
    <row r="141" spans="4:13" s="28" customFormat="1" ht="12.75">
      <c r="D141" s="156"/>
      <c r="K141" s="105"/>
      <c r="L141" s="116"/>
      <c r="M141" s="115"/>
    </row>
    <row r="142" spans="4:13" s="28" customFormat="1" ht="12.75">
      <c r="D142" s="156"/>
      <c r="K142" s="105"/>
      <c r="L142" s="116"/>
      <c r="M142" s="115"/>
    </row>
    <row r="143" spans="4:13" s="28" customFormat="1" ht="12.75">
      <c r="D143" s="156"/>
      <c r="K143" s="105"/>
      <c r="L143" s="116"/>
      <c r="M143" s="115"/>
    </row>
    <row r="144" spans="4:13" s="28" customFormat="1" ht="12.75">
      <c r="D144" s="156"/>
      <c r="K144" s="105"/>
      <c r="L144" s="116"/>
      <c r="M144" s="115"/>
    </row>
    <row r="145" spans="4:13" s="28" customFormat="1" ht="12.75">
      <c r="D145" s="156"/>
      <c r="K145" s="105"/>
      <c r="L145" s="116"/>
      <c r="M145" s="115"/>
    </row>
    <row r="146" spans="4:13" s="28" customFormat="1" ht="12.75">
      <c r="D146" s="156"/>
      <c r="K146" s="105"/>
      <c r="L146" s="116"/>
      <c r="M146" s="115"/>
    </row>
    <row r="147" spans="4:13" s="28" customFormat="1" ht="12.75">
      <c r="D147" s="156"/>
      <c r="K147" s="105"/>
      <c r="L147" s="116"/>
      <c r="M147" s="115"/>
    </row>
    <row r="148" spans="4:13" s="28" customFormat="1" ht="12.75">
      <c r="D148" s="156"/>
      <c r="K148" s="105"/>
      <c r="L148" s="116"/>
      <c r="M148" s="115"/>
    </row>
    <row r="149" spans="4:13" s="28" customFormat="1" ht="12.75">
      <c r="D149" s="156"/>
      <c r="K149" s="105"/>
      <c r="L149" s="116"/>
      <c r="M149" s="115"/>
    </row>
    <row r="150" spans="4:13" s="28" customFormat="1" ht="12.75">
      <c r="D150" s="156"/>
      <c r="K150" s="105"/>
      <c r="L150" s="116"/>
      <c r="M150" s="115"/>
    </row>
    <row r="151" spans="4:13" s="28" customFormat="1" ht="12.75">
      <c r="D151" s="156"/>
      <c r="K151" s="105"/>
      <c r="L151" s="116"/>
      <c r="M151" s="115"/>
    </row>
    <row r="152" spans="4:13" s="28" customFormat="1" ht="12.75">
      <c r="D152" s="156"/>
      <c r="K152" s="105"/>
      <c r="L152" s="116"/>
      <c r="M152" s="115"/>
    </row>
    <row r="153" spans="4:13" s="28" customFormat="1" ht="12.75">
      <c r="D153" s="156"/>
      <c r="K153" s="105"/>
      <c r="L153" s="116"/>
      <c r="M153" s="115"/>
    </row>
    <row r="154" spans="4:13" s="28" customFormat="1" ht="12.75">
      <c r="D154" s="156"/>
      <c r="K154" s="105"/>
      <c r="L154" s="116"/>
      <c r="M154" s="115"/>
    </row>
    <row r="155" spans="4:13" s="28" customFormat="1" ht="12.75">
      <c r="D155" s="156"/>
      <c r="K155" s="105"/>
      <c r="L155" s="116"/>
      <c r="M155" s="115"/>
    </row>
    <row r="156" spans="4:13" s="28" customFormat="1" ht="12.75">
      <c r="D156" s="156"/>
      <c r="K156" s="105"/>
      <c r="L156" s="116"/>
      <c r="M156" s="115"/>
    </row>
    <row r="157" spans="4:13" s="28" customFormat="1" ht="12.75">
      <c r="D157" s="156"/>
      <c r="K157" s="105"/>
      <c r="L157" s="116"/>
      <c r="M157" s="115"/>
    </row>
    <row r="158" spans="4:13" s="28" customFormat="1" ht="12.75">
      <c r="D158" s="156"/>
      <c r="K158" s="105"/>
      <c r="L158" s="116"/>
      <c r="M158" s="115"/>
    </row>
    <row r="159" spans="4:13" s="28" customFormat="1" ht="12.75">
      <c r="D159" s="156"/>
      <c r="K159" s="105"/>
      <c r="L159" s="116"/>
      <c r="M159" s="115"/>
    </row>
    <row r="160" spans="4:13" s="28" customFormat="1" ht="12.75">
      <c r="D160" s="156"/>
      <c r="K160" s="105"/>
      <c r="L160" s="116"/>
      <c r="M160" s="115"/>
    </row>
    <row r="161" spans="4:13" s="28" customFormat="1" ht="12.75">
      <c r="D161" s="156"/>
      <c r="K161" s="105"/>
      <c r="L161" s="116"/>
      <c r="M161" s="115"/>
    </row>
    <row r="162" spans="4:13" s="28" customFormat="1" ht="12.75">
      <c r="D162" s="156"/>
      <c r="K162" s="105"/>
      <c r="L162" s="116"/>
      <c r="M162" s="115"/>
    </row>
    <row r="163" spans="4:13" s="28" customFormat="1" ht="12.75">
      <c r="D163" s="156"/>
      <c r="K163" s="105"/>
      <c r="L163" s="116"/>
      <c r="M163" s="115"/>
    </row>
    <row r="164" spans="4:13" s="28" customFormat="1" ht="12.75">
      <c r="D164" s="156"/>
      <c r="K164" s="105"/>
      <c r="L164" s="116"/>
      <c r="M164" s="115"/>
    </row>
    <row r="165" spans="4:13" s="28" customFormat="1" ht="12.75">
      <c r="D165" s="156"/>
      <c r="K165" s="105"/>
      <c r="L165" s="116"/>
      <c r="M165" s="115"/>
    </row>
    <row r="166" spans="4:13" s="28" customFormat="1" ht="12.75">
      <c r="D166" s="156"/>
      <c r="K166" s="105"/>
      <c r="L166" s="116"/>
      <c r="M166" s="115"/>
    </row>
    <row r="167" spans="4:13" s="28" customFormat="1" ht="12.75">
      <c r="D167" s="156"/>
      <c r="K167" s="105"/>
      <c r="L167" s="116"/>
      <c r="M167" s="115"/>
    </row>
    <row r="168" spans="4:13" s="28" customFormat="1" ht="12.75">
      <c r="D168" s="156"/>
      <c r="K168" s="105"/>
      <c r="L168" s="116"/>
      <c r="M168" s="115"/>
    </row>
    <row r="169" spans="4:13" s="28" customFormat="1" ht="12.75">
      <c r="D169" s="156"/>
      <c r="K169" s="105"/>
      <c r="L169" s="116"/>
      <c r="M169" s="115"/>
    </row>
    <row r="170" spans="4:13" s="28" customFormat="1" ht="12.75">
      <c r="D170" s="156"/>
      <c r="K170" s="105"/>
      <c r="L170" s="116"/>
      <c r="M170" s="115"/>
    </row>
    <row r="171" spans="4:13" s="28" customFormat="1" ht="12.75">
      <c r="D171" s="156"/>
      <c r="K171" s="105"/>
      <c r="L171" s="116"/>
      <c r="M171" s="115"/>
    </row>
    <row r="172" spans="4:13" s="28" customFormat="1" ht="12.75">
      <c r="D172" s="156"/>
      <c r="K172" s="105"/>
      <c r="L172" s="116"/>
      <c r="M172" s="115"/>
    </row>
    <row r="173" spans="4:13" s="28" customFormat="1" ht="12.75">
      <c r="D173" s="156"/>
      <c r="K173" s="105"/>
      <c r="L173" s="116"/>
      <c r="M173" s="115"/>
    </row>
    <row r="174" spans="4:13" s="28" customFormat="1" ht="12.75">
      <c r="D174" s="156"/>
      <c r="K174" s="105"/>
      <c r="L174" s="116"/>
      <c r="M174" s="115"/>
    </row>
    <row r="175" spans="4:13" s="28" customFormat="1" ht="12.75">
      <c r="D175" s="156"/>
      <c r="K175" s="105"/>
      <c r="L175" s="116"/>
      <c r="M175" s="115"/>
    </row>
    <row r="176" spans="4:13" s="28" customFormat="1" ht="12.75">
      <c r="D176" s="156"/>
      <c r="K176" s="105"/>
      <c r="L176" s="116"/>
      <c r="M176" s="115"/>
    </row>
    <row r="177" spans="4:13" s="28" customFormat="1" ht="12.75">
      <c r="D177" s="156"/>
      <c r="K177" s="105"/>
      <c r="L177" s="116"/>
      <c r="M177" s="115"/>
    </row>
    <row r="178" spans="4:13" s="28" customFormat="1" ht="12.75">
      <c r="D178" s="156"/>
      <c r="K178" s="105"/>
      <c r="L178" s="116"/>
      <c r="M178" s="115"/>
    </row>
    <row r="179" spans="4:13" s="28" customFormat="1" ht="12.75">
      <c r="D179" s="156"/>
      <c r="K179" s="105"/>
      <c r="L179" s="116"/>
      <c r="M179" s="115"/>
    </row>
    <row r="180" spans="4:13" s="28" customFormat="1" ht="12.75">
      <c r="D180" s="156"/>
      <c r="K180" s="105"/>
      <c r="L180" s="116"/>
      <c r="M180" s="115"/>
    </row>
    <row r="181" spans="4:13" s="28" customFormat="1" ht="12.75">
      <c r="D181" s="156"/>
      <c r="K181" s="105"/>
      <c r="L181" s="116"/>
      <c r="M181" s="115"/>
    </row>
    <row r="182" spans="4:13" s="28" customFormat="1" ht="12.75">
      <c r="D182" s="156"/>
      <c r="K182" s="105"/>
      <c r="L182" s="116"/>
      <c r="M182" s="115"/>
    </row>
    <row r="183" spans="4:13" s="28" customFormat="1" ht="12.75">
      <c r="D183" s="156"/>
      <c r="K183" s="105"/>
      <c r="L183" s="116"/>
      <c r="M183" s="115"/>
    </row>
    <row r="184" spans="4:13" s="28" customFormat="1" ht="12.75">
      <c r="D184" s="156"/>
      <c r="K184" s="105"/>
      <c r="L184" s="116"/>
      <c r="M184" s="115"/>
    </row>
    <row r="185" spans="4:13" s="28" customFormat="1" ht="12.75">
      <c r="D185" s="156"/>
      <c r="K185" s="105"/>
      <c r="L185" s="116"/>
      <c r="M185" s="115"/>
    </row>
    <row r="186" spans="4:13" s="28" customFormat="1" ht="12.75">
      <c r="D186" s="156"/>
      <c r="K186" s="105"/>
      <c r="L186" s="116"/>
      <c r="M186" s="115"/>
    </row>
    <row r="187" spans="4:13" s="28" customFormat="1" ht="12.75">
      <c r="D187" s="156"/>
      <c r="K187" s="105"/>
      <c r="L187" s="116"/>
      <c r="M187" s="115"/>
    </row>
    <row r="188" spans="4:13" s="28" customFormat="1" ht="12.75">
      <c r="D188" s="156"/>
      <c r="K188" s="105"/>
      <c r="L188" s="116"/>
      <c r="M188" s="115"/>
    </row>
    <row r="189" spans="4:13" s="28" customFormat="1" ht="12.75">
      <c r="D189" s="156"/>
      <c r="K189" s="105"/>
      <c r="L189" s="116"/>
      <c r="M189" s="115"/>
    </row>
    <row r="190" spans="4:13" s="28" customFormat="1" ht="12.75">
      <c r="D190" s="156"/>
      <c r="K190" s="105"/>
      <c r="L190" s="116"/>
      <c r="M190" s="115"/>
    </row>
    <row r="191" spans="4:13" s="28" customFormat="1" ht="12.75">
      <c r="D191" s="156"/>
      <c r="K191" s="105"/>
      <c r="L191" s="116"/>
      <c r="M191" s="115"/>
    </row>
    <row r="192" spans="4:13" s="28" customFormat="1" ht="12.75">
      <c r="D192" s="156"/>
      <c r="K192" s="105"/>
      <c r="L192" s="116"/>
      <c r="M192" s="115"/>
    </row>
    <row r="193" spans="4:13" s="28" customFormat="1" ht="12.75">
      <c r="D193" s="156"/>
      <c r="K193" s="105"/>
      <c r="L193" s="116"/>
      <c r="M193" s="115"/>
    </row>
    <row r="194" spans="4:13" s="28" customFormat="1" ht="12.75">
      <c r="D194" s="156"/>
      <c r="K194" s="105"/>
      <c r="L194" s="116"/>
      <c r="M194" s="115"/>
    </row>
    <row r="195" spans="4:13" s="28" customFormat="1" ht="12.75">
      <c r="D195" s="156"/>
      <c r="K195" s="105"/>
      <c r="L195" s="116"/>
      <c r="M195" s="115"/>
    </row>
    <row r="196" spans="4:13" s="28" customFormat="1" ht="12.75">
      <c r="D196" s="156"/>
      <c r="K196" s="105"/>
      <c r="L196" s="116"/>
      <c r="M196" s="115"/>
    </row>
    <row r="197" spans="4:13" s="28" customFormat="1" ht="12.75">
      <c r="D197" s="156"/>
      <c r="K197" s="105"/>
      <c r="L197" s="116"/>
      <c r="M197" s="115"/>
    </row>
    <row r="198" spans="4:13" s="28" customFormat="1" ht="12.75">
      <c r="D198" s="156"/>
      <c r="K198" s="105"/>
      <c r="L198" s="116"/>
      <c r="M198" s="115"/>
    </row>
    <row r="199" spans="4:13" s="28" customFormat="1" ht="12.75">
      <c r="D199" s="156"/>
      <c r="K199" s="105"/>
      <c r="L199" s="116"/>
      <c r="M199" s="115"/>
    </row>
    <row r="200" spans="4:13" s="28" customFormat="1" ht="12.75">
      <c r="D200" s="156"/>
      <c r="K200" s="105"/>
      <c r="L200" s="116"/>
      <c r="M200" s="115"/>
    </row>
    <row r="201" spans="4:13" s="28" customFormat="1" ht="12.75">
      <c r="D201" s="156"/>
      <c r="K201" s="105"/>
      <c r="L201" s="116"/>
      <c r="M201" s="115"/>
    </row>
    <row r="202" spans="4:13" s="28" customFormat="1" ht="12.75">
      <c r="D202" s="156"/>
      <c r="K202" s="105"/>
      <c r="L202" s="116"/>
      <c r="M202" s="115"/>
    </row>
    <row r="203" spans="4:13" s="28" customFormat="1" ht="12.75">
      <c r="D203" s="156"/>
      <c r="K203" s="105"/>
      <c r="L203" s="116"/>
      <c r="M203" s="115"/>
    </row>
    <row r="204" spans="4:13" s="28" customFormat="1" ht="12.75">
      <c r="D204" s="156"/>
      <c r="K204" s="105"/>
      <c r="L204" s="116"/>
      <c r="M204" s="115"/>
    </row>
    <row r="205" spans="4:13" s="28" customFormat="1" ht="12.75">
      <c r="D205" s="156"/>
      <c r="K205" s="105"/>
      <c r="L205" s="116"/>
      <c r="M205" s="115"/>
    </row>
    <row r="206" spans="4:13" s="28" customFormat="1" ht="12.75">
      <c r="D206" s="156"/>
      <c r="K206" s="105"/>
      <c r="L206" s="116"/>
      <c r="M206" s="115"/>
    </row>
    <row r="207" spans="4:13" s="28" customFormat="1" ht="12.75">
      <c r="D207" s="156"/>
      <c r="K207" s="105"/>
      <c r="L207" s="116"/>
      <c r="M207" s="1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M209"/>
  <sheetViews>
    <sheetView zoomScalePageLayoutView="0" workbookViewId="0" topLeftCell="A1">
      <pane ySplit="5" topLeftCell="A72" activePane="bottomLeft" state="frozen"/>
      <selection pane="topLeft" activeCell="A1" sqref="A1"/>
      <selection pane="bottomLeft" activeCell="J72" sqref="J72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3.7109375" style="0" customWidth="1"/>
    <col min="4" max="4" width="5.421875" style="154" customWidth="1"/>
    <col min="5" max="5" width="12.57421875" style="74" customWidth="1"/>
    <col min="6" max="10" width="12.57421875" style="0" customWidth="1"/>
    <col min="11" max="11" width="8.8515625" style="98" customWidth="1"/>
    <col min="12" max="12" width="13.7109375" style="110" customWidth="1"/>
    <col min="13" max="13" width="8.421875" style="158" customWidth="1"/>
  </cols>
  <sheetData>
    <row r="3" spans="1:2" ht="15">
      <c r="A3" s="192" t="s">
        <v>304</v>
      </c>
      <c r="B3" s="192"/>
    </row>
    <row r="4" ht="11.25" customHeight="1" thickBot="1"/>
    <row r="5" spans="1:13" s="188" customFormat="1" ht="27" customHeight="1" thickBot="1">
      <c r="A5" s="176" t="s">
        <v>292</v>
      </c>
      <c r="B5" s="177" t="s">
        <v>17</v>
      </c>
      <c r="C5" s="177" t="s">
        <v>254</v>
      </c>
      <c r="D5" s="187" t="s">
        <v>290</v>
      </c>
      <c r="E5" s="223" t="s">
        <v>293</v>
      </c>
      <c r="F5" s="186" t="s">
        <v>294</v>
      </c>
      <c r="G5" s="181" t="s">
        <v>261</v>
      </c>
      <c r="H5" s="181" t="s">
        <v>262</v>
      </c>
      <c r="I5" s="181" t="s">
        <v>263</v>
      </c>
      <c r="J5" s="182" t="s">
        <v>264</v>
      </c>
      <c r="K5" s="183" t="s">
        <v>270</v>
      </c>
      <c r="L5" s="177" t="s">
        <v>280</v>
      </c>
      <c r="M5" s="184"/>
    </row>
    <row r="6" spans="1:13" s="28" customFormat="1" ht="12.75">
      <c r="A6" s="90" t="s">
        <v>1</v>
      </c>
      <c r="B6" s="190" t="s">
        <v>386</v>
      </c>
      <c r="C6" s="166" t="s">
        <v>31</v>
      </c>
      <c r="D6" s="159">
        <v>1.649</v>
      </c>
      <c r="E6" s="151">
        <f>250.8/168*120</f>
        <v>179.14285714285714</v>
      </c>
      <c r="F6" s="32"/>
      <c r="G6" s="32"/>
      <c r="H6" s="32">
        <f>387.36/168*120</f>
        <v>276.68571428571425</v>
      </c>
      <c r="I6" s="32"/>
      <c r="J6" s="33">
        <v>250</v>
      </c>
      <c r="K6" s="99" t="s">
        <v>271</v>
      </c>
      <c r="L6" s="145">
        <v>3204010046</v>
      </c>
      <c r="M6" s="115"/>
    </row>
    <row r="7" spans="1:13" s="28" customFormat="1" ht="12.75">
      <c r="A7" s="86" t="s">
        <v>2</v>
      </c>
      <c r="B7" s="191" t="s">
        <v>385</v>
      </c>
      <c r="C7" s="167" t="s">
        <v>32</v>
      </c>
      <c r="D7" s="155">
        <v>1.585</v>
      </c>
      <c r="E7" s="152">
        <f>159.62/168*120</f>
        <v>114.01428571428572</v>
      </c>
      <c r="F7" s="37"/>
      <c r="G7" s="37"/>
      <c r="H7" s="37">
        <f>370.88/168*120</f>
        <v>264.9142857142857</v>
      </c>
      <c r="I7" s="37"/>
      <c r="J7" s="38">
        <v>250</v>
      </c>
      <c r="K7" s="100" t="s">
        <v>271</v>
      </c>
      <c r="L7" s="146">
        <v>3204009691</v>
      </c>
      <c r="M7" s="115"/>
    </row>
    <row r="8" spans="1:13" s="28" customFormat="1" ht="12.75">
      <c r="A8" s="86" t="s">
        <v>3</v>
      </c>
      <c r="B8" s="191" t="s">
        <v>384</v>
      </c>
      <c r="C8" s="167" t="s">
        <v>35</v>
      </c>
      <c r="D8" s="155">
        <v>1.477</v>
      </c>
      <c r="E8" s="151"/>
      <c r="F8" s="37"/>
      <c r="G8" s="37"/>
      <c r="H8" s="37">
        <f>346.96/168*120</f>
        <v>247.82857142857142</v>
      </c>
      <c r="I8" s="37"/>
      <c r="J8" s="38">
        <v>807</v>
      </c>
      <c r="K8" s="101" t="s">
        <v>272</v>
      </c>
      <c r="L8" s="146">
        <v>3220485615</v>
      </c>
      <c r="M8" s="115"/>
    </row>
    <row r="9" spans="1:13" s="28" customFormat="1" ht="12.75">
      <c r="A9" s="86" t="s">
        <v>4</v>
      </c>
      <c r="B9" s="191" t="s">
        <v>383</v>
      </c>
      <c r="C9" s="167" t="s">
        <v>37</v>
      </c>
      <c r="D9" s="155">
        <v>1.656</v>
      </c>
      <c r="E9" s="152">
        <f>258.67/168*120</f>
        <v>184.76428571428573</v>
      </c>
      <c r="F9" s="37"/>
      <c r="G9" s="37"/>
      <c r="H9" s="37">
        <f>387.36/168*120</f>
        <v>276.68571428571425</v>
      </c>
      <c r="I9" s="37"/>
      <c r="J9" s="38">
        <v>250</v>
      </c>
      <c r="K9" s="100" t="s">
        <v>271</v>
      </c>
      <c r="L9" s="146">
        <v>3204010214</v>
      </c>
      <c r="M9" s="115"/>
    </row>
    <row r="10" spans="1:13" s="28" customFormat="1" ht="12.75">
      <c r="A10" s="86" t="s">
        <v>5</v>
      </c>
      <c r="B10" s="191" t="s">
        <v>382</v>
      </c>
      <c r="C10" s="167" t="s">
        <v>39</v>
      </c>
      <c r="D10" s="155">
        <v>1.635</v>
      </c>
      <c r="E10" s="151"/>
      <c r="F10" s="37"/>
      <c r="G10" s="37"/>
      <c r="H10" s="37">
        <f>384.08/168*120</f>
        <v>274.3428571428571</v>
      </c>
      <c r="I10" s="37"/>
      <c r="J10" s="38"/>
      <c r="K10" s="100" t="s">
        <v>271</v>
      </c>
      <c r="L10" s="146">
        <v>3204010327</v>
      </c>
      <c r="M10" s="115"/>
    </row>
    <row r="11" spans="1:13" s="28" customFormat="1" ht="12.75">
      <c r="A11" s="86" t="s">
        <v>6</v>
      </c>
      <c r="B11" s="191" t="s">
        <v>381</v>
      </c>
      <c r="C11" s="167" t="s">
        <v>41</v>
      </c>
      <c r="D11" s="155">
        <v>1.425</v>
      </c>
      <c r="E11" s="152"/>
      <c r="F11" s="37"/>
      <c r="G11" s="37"/>
      <c r="H11" s="37"/>
      <c r="I11" s="37">
        <f>728.01/168*120</f>
        <v>520.0071428571429</v>
      </c>
      <c r="J11" s="38"/>
      <c r="K11" s="100" t="s">
        <v>271</v>
      </c>
      <c r="L11" s="146">
        <v>3204017738</v>
      </c>
      <c r="M11" s="115"/>
    </row>
    <row r="12" spans="1:13" s="28" customFormat="1" ht="12.75">
      <c r="A12" s="86" t="s">
        <v>7</v>
      </c>
      <c r="B12" s="191" t="s">
        <v>380</v>
      </c>
      <c r="C12" s="167" t="s">
        <v>43</v>
      </c>
      <c r="D12" s="155">
        <v>1.677</v>
      </c>
      <c r="E12" s="152">
        <f>261.95/168*120</f>
        <v>187.10714285714283</v>
      </c>
      <c r="F12" s="37"/>
      <c r="G12" s="37"/>
      <c r="H12" s="37">
        <f>392.24/168*120</f>
        <v>280.1714285714286</v>
      </c>
      <c r="I12" s="37"/>
      <c r="J12" s="38"/>
      <c r="K12" s="102" t="s">
        <v>271</v>
      </c>
      <c r="L12" s="146">
        <v>3204010476</v>
      </c>
      <c r="M12" s="115"/>
    </row>
    <row r="13" spans="1:13" s="28" customFormat="1" ht="12.75">
      <c r="A13" s="86" t="s">
        <v>8</v>
      </c>
      <c r="B13" s="191" t="s">
        <v>379</v>
      </c>
      <c r="C13" s="167" t="s">
        <v>45</v>
      </c>
      <c r="D13" s="155">
        <v>1.464</v>
      </c>
      <c r="E13" s="152">
        <f>225.67/168*120</f>
        <v>161.19285714285715</v>
      </c>
      <c r="F13" s="37">
        <f>513.36/168*120</f>
        <v>366.68571428571425</v>
      </c>
      <c r="G13" s="37"/>
      <c r="H13" s="37">
        <f>342.24/168*120</f>
        <v>244.45714285714288</v>
      </c>
      <c r="I13" s="37"/>
      <c r="J13" s="38">
        <v>250</v>
      </c>
      <c r="K13" s="102" t="s">
        <v>271</v>
      </c>
      <c r="L13" s="146">
        <v>3204010484</v>
      </c>
      <c r="M13" s="115"/>
    </row>
    <row r="14" spans="1:13" s="28" customFormat="1" ht="12.75">
      <c r="A14" s="86" t="s">
        <v>9</v>
      </c>
      <c r="B14" s="191" t="s">
        <v>378</v>
      </c>
      <c r="C14" s="167" t="s">
        <v>46</v>
      </c>
      <c r="D14" s="155">
        <v>1.505</v>
      </c>
      <c r="E14" s="152"/>
      <c r="F14" s="37"/>
      <c r="G14" s="37"/>
      <c r="H14" s="37">
        <f>334.72/168*120</f>
        <v>239.08571428571432</v>
      </c>
      <c r="I14" s="37"/>
      <c r="J14" s="38">
        <v>600</v>
      </c>
      <c r="K14" s="102" t="s">
        <v>271</v>
      </c>
      <c r="L14" s="146">
        <v>3204035547</v>
      </c>
      <c r="M14" s="115"/>
    </row>
    <row r="15" spans="1:13" s="28" customFormat="1" ht="12.75">
      <c r="A15" s="86" t="s">
        <v>30</v>
      </c>
      <c r="B15" s="191" t="s">
        <v>377</v>
      </c>
      <c r="C15" s="167" t="s">
        <v>48</v>
      </c>
      <c r="D15" s="155">
        <v>1.425</v>
      </c>
      <c r="E15" s="152">
        <f>439.32/168*120</f>
        <v>313.79999999999995</v>
      </c>
      <c r="F15" s="37"/>
      <c r="G15" s="37"/>
      <c r="H15" s="37">
        <f>333.28/168*120</f>
        <v>238.05714285714285</v>
      </c>
      <c r="I15" s="37"/>
      <c r="J15" s="38"/>
      <c r="K15" s="102" t="s">
        <v>271</v>
      </c>
      <c r="L15" s="146">
        <v>3204016384</v>
      </c>
      <c r="M15" s="115"/>
    </row>
    <row r="16" spans="1:13" s="203" customFormat="1" ht="12.75">
      <c r="A16" s="193" t="s">
        <v>10</v>
      </c>
      <c r="B16" s="194" t="s">
        <v>376</v>
      </c>
      <c r="C16" s="195" t="s">
        <v>50</v>
      </c>
      <c r="D16" s="196">
        <v>1.408</v>
      </c>
      <c r="E16" s="197"/>
      <c r="F16" s="198"/>
      <c r="G16" s="198"/>
      <c r="H16" s="198">
        <f>329.29/168*120</f>
        <v>235.20714285714288</v>
      </c>
      <c r="I16" s="198"/>
      <c r="J16" s="199">
        <v>650</v>
      </c>
      <c r="K16" s="200" t="s">
        <v>271</v>
      </c>
      <c r="L16" s="201">
        <v>3203991914</v>
      </c>
      <c r="M16" s="202"/>
    </row>
    <row r="17" spans="1:13" s="28" customFormat="1" ht="12.75">
      <c r="A17" s="86" t="s">
        <v>11</v>
      </c>
      <c r="B17" s="191" t="s">
        <v>387</v>
      </c>
      <c r="C17" s="167" t="s">
        <v>52</v>
      </c>
      <c r="D17" s="155">
        <v>1.505</v>
      </c>
      <c r="E17" s="152"/>
      <c r="F17" s="37"/>
      <c r="G17" s="37"/>
      <c r="H17" s="37">
        <f>324.64/168*120</f>
        <v>231.88571428571427</v>
      </c>
      <c r="I17" s="37"/>
      <c r="J17" s="38">
        <v>650</v>
      </c>
      <c r="K17" s="102" t="s">
        <v>273</v>
      </c>
      <c r="L17" s="146">
        <v>3226742777</v>
      </c>
      <c r="M17" s="115"/>
    </row>
    <row r="18" spans="1:13" s="28" customFormat="1" ht="12.75">
      <c r="A18" s="86" t="s">
        <v>12</v>
      </c>
      <c r="B18" s="191" t="s">
        <v>375</v>
      </c>
      <c r="C18" s="167" t="s">
        <v>53</v>
      </c>
      <c r="D18" s="155">
        <v>1.324</v>
      </c>
      <c r="E18" s="152"/>
      <c r="F18" s="37"/>
      <c r="G18" s="37"/>
      <c r="H18" s="37">
        <f>310.96/168*120</f>
        <v>222.1142857142857</v>
      </c>
      <c r="I18" s="37"/>
      <c r="J18" s="38">
        <v>650</v>
      </c>
      <c r="K18" s="102" t="s">
        <v>274</v>
      </c>
      <c r="L18" s="146">
        <v>3201084947</v>
      </c>
      <c r="M18" s="115"/>
    </row>
    <row r="19" spans="1:13" s="28" customFormat="1" ht="12.75">
      <c r="A19" s="86" t="s">
        <v>13</v>
      </c>
      <c r="B19" s="191" t="s">
        <v>374</v>
      </c>
      <c r="C19" s="167" t="s">
        <v>55</v>
      </c>
      <c r="D19" s="155">
        <v>1.37</v>
      </c>
      <c r="E19" s="152">
        <f>205.55/168*120</f>
        <v>146.82142857142856</v>
      </c>
      <c r="F19" s="37"/>
      <c r="G19" s="37"/>
      <c r="H19" s="37">
        <f>320.4/168*120</f>
        <v>228.85714285714283</v>
      </c>
      <c r="I19" s="37"/>
      <c r="J19" s="38">
        <v>600</v>
      </c>
      <c r="K19" s="102" t="s">
        <v>271</v>
      </c>
      <c r="L19" s="146">
        <v>3207503041</v>
      </c>
      <c r="M19" s="115"/>
    </row>
    <row r="20" spans="1:13" s="28" customFormat="1" ht="12.75">
      <c r="A20" s="86" t="s">
        <v>14</v>
      </c>
      <c r="B20" s="191" t="s">
        <v>373</v>
      </c>
      <c r="C20" s="167" t="s">
        <v>57</v>
      </c>
      <c r="D20" s="155">
        <v>1.656</v>
      </c>
      <c r="E20" s="152"/>
      <c r="F20" s="37"/>
      <c r="G20" s="37"/>
      <c r="H20" s="37"/>
      <c r="I20" s="37">
        <f>846.02/168*120</f>
        <v>604.3000000000001</v>
      </c>
      <c r="J20" s="38"/>
      <c r="K20" s="102" t="s">
        <v>271</v>
      </c>
      <c r="L20" s="146">
        <v>3204074301</v>
      </c>
      <c r="M20" s="115"/>
    </row>
    <row r="21" spans="1:13" s="28" customFormat="1" ht="12.75">
      <c r="A21" s="86" t="s">
        <v>15</v>
      </c>
      <c r="B21" s="191" t="s">
        <v>372</v>
      </c>
      <c r="C21" s="167" t="s">
        <v>103</v>
      </c>
      <c r="D21" s="155">
        <v>1.335</v>
      </c>
      <c r="E21" s="152">
        <f>274.38/168*120</f>
        <v>195.9857142857143</v>
      </c>
      <c r="F21" s="37"/>
      <c r="G21" s="37"/>
      <c r="H21" s="37">
        <f>315.2/168*120</f>
        <v>225.14285714285714</v>
      </c>
      <c r="I21" s="37"/>
      <c r="J21" s="38">
        <v>250</v>
      </c>
      <c r="K21" s="102" t="s">
        <v>275</v>
      </c>
      <c r="L21" s="146">
        <v>3223516627</v>
      </c>
      <c r="M21" s="115"/>
    </row>
    <row r="22" spans="1:13" s="28" customFormat="1" ht="12.75">
      <c r="A22" s="86" t="s">
        <v>16</v>
      </c>
      <c r="B22" s="191" t="s">
        <v>371</v>
      </c>
      <c r="C22" s="167" t="s">
        <v>62</v>
      </c>
      <c r="D22" s="155">
        <v>1.322</v>
      </c>
      <c r="E22" s="152"/>
      <c r="F22" s="37"/>
      <c r="G22" s="37"/>
      <c r="H22" s="37"/>
      <c r="I22" s="37">
        <f>1008.48/168*120</f>
        <v>720.3428571428572</v>
      </c>
      <c r="J22" s="38">
        <v>810</v>
      </c>
      <c r="K22" s="102" t="s">
        <v>271</v>
      </c>
      <c r="L22" s="146">
        <v>3209826266</v>
      </c>
      <c r="M22" s="115"/>
    </row>
    <row r="23" spans="1:13" s="203" customFormat="1" ht="12.75">
      <c r="A23" s="193" t="s">
        <v>58</v>
      </c>
      <c r="B23" s="194" t="s">
        <v>370</v>
      </c>
      <c r="C23" s="195" t="s">
        <v>65</v>
      </c>
      <c r="D23" s="196">
        <v>1.316</v>
      </c>
      <c r="E23" s="197"/>
      <c r="F23" s="198"/>
      <c r="G23" s="198"/>
      <c r="H23" s="198">
        <f>307.44/168*88</f>
        <v>161.04000000000002</v>
      </c>
      <c r="I23" s="198"/>
      <c r="J23" s="199">
        <v>600</v>
      </c>
      <c r="K23" s="200" t="s">
        <v>271</v>
      </c>
      <c r="L23" s="201">
        <v>3206487143</v>
      </c>
      <c r="M23" s="202"/>
    </row>
    <row r="24" spans="1:13" s="28" customFormat="1" ht="12.75">
      <c r="A24" s="86" t="s">
        <v>61</v>
      </c>
      <c r="B24" s="191" t="s">
        <v>369</v>
      </c>
      <c r="C24" s="167" t="s">
        <v>68</v>
      </c>
      <c r="D24" s="155">
        <v>1.316</v>
      </c>
      <c r="E24" s="152"/>
      <c r="F24" s="37"/>
      <c r="G24" s="37"/>
      <c r="H24" s="37">
        <f>307.44/168*120</f>
        <v>219.60000000000002</v>
      </c>
      <c r="I24" s="37">
        <f>668.75/168*120</f>
        <v>477.67857142857144</v>
      </c>
      <c r="J24" s="38">
        <v>830</v>
      </c>
      <c r="K24" s="102" t="s">
        <v>276</v>
      </c>
      <c r="L24" s="146">
        <v>3251666018</v>
      </c>
      <c r="M24" s="115"/>
    </row>
    <row r="25" spans="1:13" s="28" customFormat="1" ht="12.75">
      <c r="A25" s="86" t="s">
        <v>63</v>
      </c>
      <c r="B25" s="191" t="s">
        <v>368</v>
      </c>
      <c r="C25" s="167" t="s">
        <v>71</v>
      </c>
      <c r="D25" s="155">
        <v>1.322</v>
      </c>
      <c r="E25" s="152"/>
      <c r="F25" s="37"/>
      <c r="G25" s="37"/>
      <c r="H25" s="37">
        <f>309.12/168*120</f>
        <v>220.8</v>
      </c>
      <c r="I25" s="37"/>
      <c r="J25" s="38">
        <v>650</v>
      </c>
      <c r="K25" s="102" t="s">
        <v>271</v>
      </c>
      <c r="L25" s="146">
        <v>3209339880</v>
      </c>
      <c r="M25" s="115"/>
    </row>
    <row r="26" spans="1:13" s="28" customFormat="1" ht="12.75">
      <c r="A26" s="86" t="s">
        <v>66</v>
      </c>
      <c r="B26" s="191" t="s">
        <v>367</v>
      </c>
      <c r="C26" s="167" t="s">
        <v>74</v>
      </c>
      <c r="D26" s="155">
        <v>1.656</v>
      </c>
      <c r="E26" s="152">
        <f>340.35/168*120</f>
        <v>243.1071428571429</v>
      </c>
      <c r="F26" s="37"/>
      <c r="G26" s="37"/>
      <c r="H26" s="37">
        <f>387.36/168*120</f>
        <v>276.68571428571425</v>
      </c>
      <c r="I26" s="37"/>
      <c r="J26" s="38">
        <v>768</v>
      </c>
      <c r="K26" s="102" t="s">
        <v>271</v>
      </c>
      <c r="L26" s="146">
        <v>3204051514</v>
      </c>
      <c r="M26" s="115"/>
    </row>
    <row r="27" spans="1:13" s="28" customFormat="1" ht="12.75">
      <c r="A27" s="86" t="s">
        <v>69</v>
      </c>
      <c r="B27" s="191" t="s">
        <v>366</v>
      </c>
      <c r="C27" s="167" t="s">
        <v>76</v>
      </c>
      <c r="D27" s="155">
        <v>1.582</v>
      </c>
      <c r="E27" s="152">
        <f>637.28/168*120</f>
        <v>455.19999999999993</v>
      </c>
      <c r="F27" s="37"/>
      <c r="G27" s="37">
        <v>91.84</v>
      </c>
      <c r="H27" s="37">
        <f>369.92/168*120</f>
        <v>264.2285714285714</v>
      </c>
      <c r="I27" s="37"/>
      <c r="J27" s="38">
        <v>250</v>
      </c>
      <c r="K27" s="102" t="s">
        <v>271</v>
      </c>
      <c r="L27" s="146">
        <v>3204010298</v>
      </c>
      <c r="M27" s="115"/>
    </row>
    <row r="28" spans="1:13" s="28" customFormat="1" ht="12.75">
      <c r="A28" s="86" t="s">
        <v>72</v>
      </c>
      <c r="B28" s="191" t="s">
        <v>365</v>
      </c>
      <c r="C28" s="167" t="s">
        <v>79</v>
      </c>
      <c r="D28" s="155">
        <v>1.696</v>
      </c>
      <c r="E28" s="152">
        <f>390.4/168*120</f>
        <v>278.85714285714283</v>
      </c>
      <c r="F28" s="37"/>
      <c r="G28" s="37">
        <v>196.8</v>
      </c>
      <c r="H28" s="37">
        <f>396.72/168*120</f>
        <v>283.3714285714286</v>
      </c>
      <c r="I28" s="37"/>
      <c r="J28" s="38"/>
      <c r="K28" s="102" t="s">
        <v>271</v>
      </c>
      <c r="L28" s="146">
        <v>3214138674</v>
      </c>
      <c r="M28" s="115"/>
    </row>
    <row r="29" spans="1:13" s="28" customFormat="1" ht="12.75">
      <c r="A29" s="86" t="s">
        <v>75</v>
      </c>
      <c r="B29" s="191" t="s">
        <v>364</v>
      </c>
      <c r="C29" s="167" t="s">
        <v>82</v>
      </c>
      <c r="D29" s="155">
        <v>1.685</v>
      </c>
      <c r="E29" s="152"/>
      <c r="F29" s="37"/>
      <c r="G29" s="37"/>
      <c r="H29" s="37">
        <f>366.64/168*120</f>
        <v>261.88571428571424</v>
      </c>
      <c r="I29" s="37"/>
      <c r="J29" s="38"/>
      <c r="K29" s="102" t="s">
        <v>274</v>
      </c>
      <c r="L29" s="146">
        <v>3201085021</v>
      </c>
      <c r="M29" s="115"/>
    </row>
    <row r="30" spans="1:13" s="28" customFormat="1" ht="12.75">
      <c r="A30" s="86" t="s">
        <v>77</v>
      </c>
      <c r="B30" s="191" t="s">
        <v>363</v>
      </c>
      <c r="C30" s="167" t="s">
        <v>85</v>
      </c>
      <c r="D30" s="155">
        <v>1.296</v>
      </c>
      <c r="E30" s="152"/>
      <c r="F30" s="37"/>
      <c r="G30" s="37"/>
      <c r="H30" s="37">
        <f>306.08/168*120</f>
        <v>218.62857142857143</v>
      </c>
      <c r="I30" s="37"/>
      <c r="J30" s="38">
        <v>250</v>
      </c>
      <c r="K30" s="102" t="s">
        <v>276</v>
      </c>
      <c r="L30" s="146">
        <v>3251589993</v>
      </c>
      <c r="M30" s="115"/>
    </row>
    <row r="31" spans="1:13" s="28" customFormat="1" ht="12.75">
      <c r="A31" s="86" t="s">
        <v>80</v>
      </c>
      <c r="B31" s="191" t="s">
        <v>362</v>
      </c>
      <c r="C31" s="167" t="s">
        <v>88</v>
      </c>
      <c r="D31" s="155">
        <v>1.649</v>
      </c>
      <c r="E31" s="152">
        <f>88.12/168*120</f>
        <v>62.94285714285714</v>
      </c>
      <c r="F31" s="37"/>
      <c r="G31" s="37"/>
      <c r="H31" s="37">
        <f>385.68/168*120</f>
        <v>275.4857142857143</v>
      </c>
      <c r="I31" s="37"/>
      <c r="J31" s="38"/>
      <c r="K31" s="102" t="s">
        <v>274</v>
      </c>
      <c r="L31" s="146">
        <v>3201084963</v>
      </c>
      <c r="M31" s="115"/>
    </row>
    <row r="32" spans="1:13" s="28" customFormat="1" ht="12.75">
      <c r="A32" s="86" t="s">
        <v>83</v>
      </c>
      <c r="B32" s="191" t="s">
        <v>361</v>
      </c>
      <c r="C32" s="167" t="s">
        <v>91</v>
      </c>
      <c r="D32" s="155">
        <v>1.67</v>
      </c>
      <c r="E32" s="152">
        <f>494.25/168*120</f>
        <v>353.0357142857143</v>
      </c>
      <c r="F32" s="37">
        <f>585.96/168*120</f>
        <v>418.54285714285714</v>
      </c>
      <c r="G32" s="37"/>
      <c r="H32" s="37">
        <f>366.64/168*120</f>
        <v>261.88571428571424</v>
      </c>
      <c r="I32" s="37"/>
      <c r="J32" s="38"/>
      <c r="K32" s="102" t="s">
        <v>271</v>
      </c>
      <c r="L32" s="146">
        <v>3207034652</v>
      </c>
      <c r="M32" s="115"/>
    </row>
    <row r="33" spans="1:13" s="28" customFormat="1" ht="12.75">
      <c r="A33" s="86" t="s">
        <v>86</v>
      </c>
      <c r="B33" s="191" t="s">
        <v>360</v>
      </c>
      <c r="C33" s="167" t="s">
        <v>95</v>
      </c>
      <c r="D33" s="155">
        <v>1.54</v>
      </c>
      <c r="E33" s="152">
        <f>379.82/168*120</f>
        <v>271.3</v>
      </c>
      <c r="F33" s="37"/>
      <c r="G33" s="37"/>
      <c r="H33" s="37">
        <f>385.92/168*120</f>
        <v>275.65714285714284</v>
      </c>
      <c r="I33" s="37"/>
      <c r="J33" s="38">
        <v>250</v>
      </c>
      <c r="K33" s="102" t="s">
        <v>271</v>
      </c>
      <c r="L33" s="146">
        <v>3203938809</v>
      </c>
      <c r="M33" s="115"/>
    </row>
    <row r="34" spans="1:13" s="28" customFormat="1" ht="12.75">
      <c r="A34" s="86" t="s">
        <v>89</v>
      </c>
      <c r="B34" s="191" t="s">
        <v>359</v>
      </c>
      <c r="C34" s="167" t="s">
        <v>97</v>
      </c>
      <c r="D34" s="155">
        <v>1.619</v>
      </c>
      <c r="E34" s="152">
        <f>79.86/168*120</f>
        <v>57.042857142857144</v>
      </c>
      <c r="F34" s="37"/>
      <c r="G34" s="37"/>
      <c r="H34" s="37">
        <f>364.8/168*120</f>
        <v>260.5714285714286</v>
      </c>
      <c r="I34" s="37"/>
      <c r="J34" s="38"/>
      <c r="K34" s="102" t="s">
        <v>274</v>
      </c>
      <c r="L34" s="146">
        <v>3201085064</v>
      </c>
      <c r="M34" s="115"/>
    </row>
    <row r="35" spans="1:13" s="28" customFormat="1" ht="12.75">
      <c r="A35" s="86" t="s">
        <v>92</v>
      </c>
      <c r="B35" s="191" t="s">
        <v>358</v>
      </c>
      <c r="C35" s="167" t="s">
        <v>100</v>
      </c>
      <c r="D35" s="155">
        <v>1.348</v>
      </c>
      <c r="E35" s="152">
        <f>426.66/168*120</f>
        <v>304.75714285714287</v>
      </c>
      <c r="F35" s="37"/>
      <c r="G35" s="37"/>
      <c r="H35" s="37">
        <f>315.2/168*120</f>
        <v>225.14285714285714</v>
      </c>
      <c r="I35" s="37"/>
      <c r="J35" s="38">
        <v>250</v>
      </c>
      <c r="K35" s="102" t="s">
        <v>275</v>
      </c>
      <c r="L35" s="146">
        <v>3238905542</v>
      </c>
      <c r="M35" s="115"/>
    </row>
    <row r="36" spans="1:13" s="28" customFormat="1" ht="12.75">
      <c r="A36" s="86" t="s">
        <v>93</v>
      </c>
      <c r="B36" s="191" t="s">
        <v>357</v>
      </c>
      <c r="C36" s="167" t="s">
        <v>106</v>
      </c>
      <c r="D36" s="155">
        <v>1.296</v>
      </c>
      <c r="E36" s="152">
        <f>199.77/168*120</f>
        <v>142.69285714285715</v>
      </c>
      <c r="F36" s="37"/>
      <c r="G36" s="37"/>
      <c r="H36" s="37">
        <f>304.4/168*120</f>
        <v>217.4285714285714</v>
      </c>
      <c r="I36" s="37"/>
      <c r="J36" s="37">
        <v>867</v>
      </c>
      <c r="K36" s="100" t="s">
        <v>275</v>
      </c>
      <c r="L36" s="146">
        <v>3223350187</v>
      </c>
      <c r="M36" s="115"/>
    </row>
    <row r="37" spans="1:13" s="28" customFormat="1" ht="12.75">
      <c r="A37" s="86" t="s">
        <v>96</v>
      </c>
      <c r="B37" s="191" t="s">
        <v>356</v>
      </c>
      <c r="C37" s="167" t="s">
        <v>109</v>
      </c>
      <c r="D37" s="155">
        <v>1.322</v>
      </c>
      <c r="E37" s="152"/>
      <c r="F37" s="37">
        <f>465.84/168*120</f>
        <v>332.74285714285713</v>
      </c>
      <c r="G37" s="37"/>
      <c r="H37" s="37">
        <f>310.56/168*120</f>
        <v>221.82857142857142</v>
      </c>
      <c r="I37" s="37"/>
      <c r="J37" s="37">
        <v>987</v>
      </c>
      <c r="K37" s="100" t="s">
        <v>274</v>
      </c>
      <c r="L37" s="146">
        <v>3201113074</v>
      </c>
      <c r="M37" s="115"/>
    </row>
    <row r="38" spans="1:13" s="28" customFormat="1" ht="12.75">
      <c r="A38" s="86" t="s">
        <v>98</v>
      </c>
      <c r="B38" s="191" t="s">
        <v>355</v>
      </c>
      <c r="C38" s="167" t="s">
        <v>112</v>
      </c>
      <c r="D38" s="155">
        <v>1.663</v>
      </c>
      <c r="E38" s="152">
        <f>355.46/168*120</f>
        <v>253.89999999999998</v>
      </c>
      <c r="F38" s="37"/>
      <c r="G38" s="37"/>
      <c r="H38" s="37">
        <f>366.64/168*120</f>
        <v>261.88571428571424</v>
      </c>
      <c r="I38" s="37"/>
      <c r="J38" s="37">
        <v>250</v>
      </c>
      <c r="K38" s="100" t="s">
        <v>271</v>
      </c>
      <c r="L38" s="146">
        <v>3204010417</v>
      </c>
      <c r="M38" s="115"/>
    </row>
    <row r="39" spans="1:13" s="28" customFormat="1" ht="12.75">
      <c r="A39" s="86" t="s">
        <v>101</v>
      </c>
      <c r="B39" s="190" t="s">
        <v>354</v>
      </c>
      <c r="C39" s="161" t="s">
        <v>115</v>
      </c>
      <c r="D39" s="159">
        <v>1.559</v>
      </c>
      <c r="E39" s="151">
        <f>307.6/168*120</f>
        <v>219.71428571428572</v>
      </c>
      <c r="F39" s="32"/>
      <c r="G39" s="32"/>
      <c r="H39" s="37">
        <f>366.16/168*120</f>
        <v>261.5428571428572</v>
      </c>
      <c r="I39" s="37"/>
      <c r="J39" s="37"/>
      <c r="K39" s="100" t="s">
        <v>271</v>
      </c>
      <c r="L39" s="146">
        <v>3204021743</v>
      </c>
      <c r="M39" s="115"/>
    </row>
    <row r="40" spans="1:13" s="28" customFormat="1" ht="12.75">
      <c r="A40" s="86" t="s">
        <v>104</v>
      </c>
      <c r="B40" s="191" t="s">
        <v>353</v>
      </c>
      <c r="C40" s="162" t="s">
        <v>118</v>
      </c>
      <c r="D40" s="155">
        <v>1.585</v>
      </c>
      <c r="E40" s="152">
        <f>364.85/168*120</f>
        <v>260.60714285714283</v>
      </c>
      <c r="F40" s="37"/>
      <c r="G40" s="37">
        <v>1173.23</v>
      </c>
      <c r="H40" s="37">
        <f>372.32/168*120</f>
        <v>265.9428571428571</v>
      </c>
      <c r="I40" s="37"/>
      <c r="J40" s="37">
        <v>1316</v>
      </c>
      <c r="K40" s="100" t="s">
        <v>274</v>
      </c>
      <c r="L40" s="146">
        <v>3201085072</v>
      </c>
      <c r="M40" s="115"/>
    </row>
    <row r="41" spans="1:13" s="28" customFormat="1" ht="12.75">
      <c r="A41" s="86" t="s">
        <v>107</v>
      </c>
      <c r="B41" s="191" t="s">
        <v>352</v>
      </c>
      <c r="C41" s="162" t="s">
        <v>121</v>
      </c>
      <c r="D41" s="155">
        <v>1.316</v>
      </c>
      <c r="E41" s="152">
        <f>173.1/168*120</f>
        <v>123.64285714285712</v>
      </c>
      <c r="F41" s="37"/>
      <c r="G41" s="37"/>
      <c r="H41" s="37">
        <f>309.12/168*120</f>
        <v>220.8</v>
      </c>
      <c r="I41" s="37"/>
      <c r="J41" s="37">
        <v>250</v>
      </c>
      <c r="K41" s="100" t="s">
        <v>271</v>
      </c>
      <c r="L41" s="146">
        <v>3201227584</v>
      </c>
      <c r="M41" s="115"/>
    </row>
    <row r="42" spans="1:13" s="28" customFormat="1" ht="13.5" thickBot="1">
      <c r="A42" s="91" t="s">
        <v>110</v>
      </c>
      <c r="B42" s="191" t="s">
        <v>351</v>
      </c>
      <c r="C42" s="162" t="s">
        <v>124</v>
      </c>
      <c r="D42" s="155">
        <v>1.25</v>
      </c>
      <c r="E42" s="152">
        <f>69.72/168*120</f>
        <v>49.8</v>
      </c>
      <c r="F42" s="37"/>
      <c r="G42" s="37">
        <v>326.56</v>
      </c>
      <c r="H42" s="37">
        <f>217.84/168*120</f>
        <v>155.6</v>
      </c>
      <c r="I42" s="37"/>
      <c r="J42" s="37"/>
      <c r="K42" s="100" t="s">
        <v>271</v>
      </c>
      <c r="L42" s="146">
        <v>3213573925</v>
      </c>
      <c r="M42" s="115"/>
    </row>
    <row r="44" spans="1:13" s="28" customFormat="1" ht="12.75">
      <c r="A44" s="70"/>
      <c r="B44" s="71"/>
      <c r="C44" s="72"/>
      <c r="D44" s="189"/>
      <c r="E44" s="73"/>
      <c r="F44" s="73"/>
      <c r="G44" s="73"/>
      <c r="H44" s="73"/>
      <c r="I44" s="73"/>
      <c r="J44" s="73"/>
      <c r="K44" s="104"/>
      <c r="L44" s="115"/>
      <c r="M44" s="115"/>
    </row>
    <row r="45" spans="1:13" s="28" customFormat="1" ht="12.75">
      <c r="A45" s="70"/>
      <c r="B45" s="71"/>
      <c r="C45" s="72"/>
      <c r="D45" s="189"/>
      <c r="E45" s="73"/>
      <c r="F45" s="73"/>
      <c r="G45" s="73"/>
      <c r="H45" s="73"/>
      <c r="I45" s="73"/>
      <c r="J45" s="73"/>
      <c r="K45" s="104"/>
      <c r="L45" s="115"/>
      <c r="M45" s="115"/>
    </row>
    <row r="46" spans="1:13" s="28" customFormat="1" ht="12.75">
      <c r="A46" s="70"/>
      <c r="B46" s="71"/>
      <c r="C46" s="72"/>
      <c r="D46" s="189"/>
      <c r="E46" s="73"/>
      <c r="F46" s="73"/>
      <c r="G46" s="73"/>
      <c r="H46" s="73"/>
      <c r="I46" s="73"/>
      <c r="J46" s="73"/>
      <c r="K46" s="104"/>
      <c r="L46" s="115"/>
      <c r="M46" s="115"/>
    </row>
    <row r="47" spans="1:13" s="28" customFormat="1" ht="13.5" thickBot="1">
      <c r="A47" s="70"/>
      <c r="B47" s="71"/>
      <c r="C47" s="72"/>
      <c r="D47" s="189"/>
      <c r="E47" s="73"/>
      <c r="F47" s="73"/>
      <c r="G47" s="73"/>
      <c r="H47" s="73"/>
      <c r="I47" s="73"/>
      <c r="J47" s="73"/>
      <c r="K47" s="104"/>
      <c r="L47" s="115"/>
      <c r="M47" s="115"/>
    </row>
    <row r="48" spans="1:13" s="188" customFormat="1" ht="27" customHeight="1" thickBot="1">
      <c r="A48" s="185" t="s">
        <v>292</v>
      </c>
      <c r="B48" s="177" t="s">
        <v>17</v>
      </c>
      <c r="C48" s="178" t="s">
        <v>254</v>
      </c>
      <c r="D48" s="187" t="s">
        <v>290</v>
      </c>
      <c r="E48" s="223" t="s">
        <v>293</v>
      </c>
      <c r="F48" s="180" t="s">
        <v>294</v>
      </c>
      <c r="G48" s="181" t="s">
        <v>261</v>
      </c>
      <c r="H48" s="181" t="s">
        <v>262</v>
      </c>
      <c r="I48" s="181" t="s">
        <v>263</v>
      </c>
      <c r="J48" s="182" t="s">
        <v>264</v>
      </c>
      <c r="K48" s="183" t="s">
        <v>270</v>
      </c>
      <c r="L48" s="177" t="s">
        <v>280</v>
      </c>
      <c r="M48" s="184"/>
    </row>
    <row r="49" spans="1:13" s="28" customFormat="1" ht="12.75">
      <c r="A49" s="160" t="s">
        <v>113</v>
      </c>
      <c r="B49" s="153" t="s">
        <v>350</v>
      </c>
      <c r="C49" s="162" t="s">
        <v>127</v>
      </c>
      <c r="D49" s="155">
        <v>1.635</v>
      </c>
      <c r="E49" s="152">
        <f>537.66/168*120</f>
        <v>384.0428571428571</v>
      </c>
      <c r="F49" s="37">
        <f>288.06/168*120</f>
        <v>205.75714285714287</v>
      </c>
      <c r="G49" s="37"/>
      <c r="H49" s="37">
        <f>384.08/168*120</f>
        <v>274.3428571428571</v>
      </c>
      <c r="I49" s="37"/>
      <c r="J49" s="38">
        <v>250</v>
      </c>
      <c r="K49" s="102" t="s">
        <v>271</v>
      </c>
      <c r="L49" s="146">
        <v>3206953335</v>
      </c>
      <c r="M49" s="115"/>
    </row>
    <row r="50" spans="1:13" s="28" customFormat="1" ht="12.75">
      <c r="A50" s="164" t="s">
        <v>116</v>
      </c>
      <c r="B50" s="163" t="s">
        <v>349</v>
      </c>
      <c r="C50" s="161" t="s">
        <v>130</v>
      </c>
      <c r="D50" s="159">
        <v>1.89</v>
      </c>
      <c r="E50" s="151">
        <f>598.21/168*120</f>
        <v>427.2928571428572</v>
      </c>
      <c r="F50" s="32">
        <f>774.3/168*120</f>
        <v>553.0714285714284</v>
      </c>
      <c r="G50" s="32"/>
      <c r="H50" s="32">
        <f>412.96/168*120</f>
        <v>294.97142857142853</v>
      </c>
      <c r="I50" s="32"/>
      <c r="J50" s="33">
        <v>250</v>
      </c>
      <c r="K50" s="108" t="s">
        <v>274</v>
      </c>
      <c r="L50" s="145">
        <v>3201085013</v>
      </c>
      <c r="M50" s="115"/>
    </row>
    <row r="51" spans="1:13" s="28" customFormat="1" ht="12.75">
      <c r="A51" s="164" t="s">
        <v>119</v>
      </c>
      <c r="B51" s="153" t="s">
        <v>348</v>
      </c>
      <c r="C51" s="162" t="s">
        <v>133</v>
      </c>
      <c r="D51" s="155">
        <v>1.568</v>
      </c>
      <c r="E51" s="152"/>
      <c r="F51" s="37"/>
      <c r="G51" s="37"/>
      <c r="H51" s="37">
        <f>366.64/168*120</f>
        <v>261.88571428571424</v>
      </c>
      <c r="I51" s="37"/>
      <c r="J51" s="38">
        <v>810</v>
      </c>
      <c r="K51" s="102" t="s">
        <v>271</v>
      </c>
      <c r="L51" s="146">
        <v>3204010409</v>
      </c>
      <c r="M51" s="115"/>
    </row>
    <row r="52" spans="1:13" s="203" customFormat="1" ht="12.75">
      <c r="A52" s="204" t="s">
        <v>122</v>
      </c>
      <c r="B52" s="205" t="s">
        <v>347</v>
      </c>
      <c r="C52" s="206" t="s">
        <v>136</v>
      </c>
      <c r="D52" s="196">
        <v>1.408</v>
      </c>
      <c r="E52" s="197">
        <f>127.33/168*80</f>
        <v>60.63333333333333</v>
      </c>
      <c r="F52" s="198"/>
      <c r="G52" s="198"/>
      <c r="H52" s="198">
        <f>330.72/168*80</f>
        <v>157.4857142857143</v>
      </c>
      <c r="I52" s="198"/>
      <c r="J52" s="199">
        <v>250</v>
      </c>
      <c r="K52" s="200" t="s">
        <v>271</v>
      </c>
      <c r="L52" s="201">
        <v>3206725631</v>
      </c>
      <c r="M52" s="202"/>
    </row>
    <row r="53" spans="1:13" s="28" customFormat="1" ht="12.75">
      <c r="A53" s="164" t="s">
        <v>125</v>
      </c>
      <c r="B53" s="153" t="s">
        <v>346</v>
      </c>
      <c r="C53" s="162" t="s">
        <v>139</v>
      </c>
      <c r="D53" s="155">
        <v>1.547</v>
      </c>
      <c r="E53" s="152"/>
      <c r="F53" s="37"/>
      <c r="G53" s="37"/>
      <c r="H53" s="37">
        <f>361.76/168*120</f>
        <v>258.4</v>
      </c>
      <c r="I53" s="37"/>
      <c r="J53" s="38">
        <v>250</v>
      </c>
      <c r="K53" s="102" t="s">
        <v>271</v>
      </c>
      <c r="L53" s="146">
        <v>3204015058</v>
      </c>
      <c r="M53" s="115"/>
    </row>
    <row r="54" spans="1:13" s="203" customFormat="1" ht="12.75">
      <c r="A54" s="204" t="s">
        <v>128</v>
      </c>
      <c r="B54" s="205" t="s">
        <v>345</v>
      </c>
      <c r="C54" s="206" t="s">
        <v>142</v>
      </c>
      <c r="D54" s="196">
        <v>1.376</v>
      </c>
      <c r="E54" s="197">
        <v>79.19</v>
      </c>
      <c r="F54" s="198"/>
      <c r="G54" s="198"/>
      <c r="H54" s="198">
        <v>232.93</v>
      </c>
      <c r="I54" s="198"/>
      <c r="J54" s="199"/>
      <c r="K54" s="200" t="s">
        <v>271</v>
      </c>
      <c r="L54" s="201">
        <v>3202927758</v>
      </c>
      <c r="M54" s="202"/>
    </row>
    <row r="55" spans="1:13" s="28" customFormat="1" ht="12.75">
      <c r="A55" s="164" t="s">
        <v>131</v>
      </c>
      <c r="B55" s="153" t="s">
        <v>344</v>
      </c>
      <c r="C55" s="162" t="s">
        <v>146</v>
      </c>
      <c r="D55" s="155">
        <v>1.561</v>
      </c>
      <c r="E55" s="152"/>
      <c r="F55" s="37"/>
      <c r="G55" s="37">
        <v>1579.73</v>
      </c>
      <c r="H55" s="37">
        <f>365.04/168*120</f>
        <v>260.7428571428572</v>
      </c>
      <c r="I55" s="37"/>
      <c r="J55" s="38">
        <v>250</v>
      </c>
      <c r="K55" s="102" t="s">
        <v>271</v>
      </c>
      <c r="L55" s="146">
        <v>3203992312</v>
      </c>
      <c r="M55" s="115"/>
    </row>
    <row r="56" spans="1:13" s="28" customFormat="1" ht="12.75">
      <c r="A56" s="164" t="s">
        <v>134</v>
      </c>
      <c r="B56" s="153" t="s">
        <v>343</v>
      </c>
      <c r="C56" s="162" t="s">
        <v>149</v>
      </c>
      <c r="D56" s="155">
        <v>1.335</v>
      </c>
      <c r="E56" s="152">
        <f>120.73/168*120</f>
        <v>86.2357142857143</v>
      </c>
      <c r="F56" s="37"/>
      <c r="G56" s="37">
        <v>1162.55</v>
      </c>
      <c r="H56" s="37">
        <f>313.6/168*120</f>
        <v>224</v>
      </c>
      <c r="I56" s="37"/>
      <c r="J56" s="38">
        <v>877</v>
      </c>
      <c r="K56" s="102" t="s">
        <v>277</v>
      </c>
      <c r="L56" s="146">
        <v>3206045226</v>
      </c>
      <c r="M56" s="115"/>
    </row>
    <row r="57" spans="1:13" s="28" customFormat="1" ht="12.75">
      <c r="A57" s="164" t="s">
        <v>137</v>
      </c>
      <c r="B57" s="153" t="s">
        <v>342</v>
      </c>
      <c r="C57" s="162" t="s">
        <v>152</v>
      </c>
      <c r="D57" s="155">
        <v>1.335</v>
      </c>
      <c r="E57" s="152"/>
      <c r="F57" s="37"/>
      <c r="G57" s="37"/>
      <c r="H57" s="37">
        <f>312.16/168*120</f>
        <v>222.9714285714286</v>
      </c>
      <c r="I57" s="37"/>
      <c r="J57" s="38">
        <v>600</v>
      </c>
      <c r="K57" s="102" t="s">
        <v>273</v>
      </c>
      <c r="L57" s="146">
        <v>3234063231</v>
      </c>
      <c r="M57" s="115"/>
    </row>
    <row r="58" spans="1:13" s="28" customFormat="1" ht="12.75">
      <c r="A58" s="164" t="s">
        <v>140</v>
      </c>
      <c r="B58" s="153" t="s">
        <v>341</v>
      </c>
      <c r="C58" s="162" t="s">
        <v>155</v>
      </c>
      <c r="D58" s="155">
        <v>1.376</v>
      </c>
      <c r="E58" s="152">
        <f>361.99/168*120</f>
        <v>258.56428571428575</v>
      </c>
      <c r="F58" s="37"/>
      <c r="G58" s="37"/>
      <c r="H58" s="37">
        <f>316.64/168*120</f>
        <v>226.17142857142855</v>
      </c>
      <c r="I58" s="37"/>
      <c r="J58" s="38">
        <v>1310</v>
      </c>
      <c r="K58" s="102" t="s">
        <v>271</v>
      </c>
      <c r="L58" s="146">
        <v>3204198345</v>
      </c>
      <c r="M58" s="115"/>
    </row>
    <row r="59" spans="1:13" s="28" customFormat="1" ht="12.75">
      <c r="A59" s="164" t="s">
        <v>143</v>
      </c>
      <c r="B59" s="153" t="s">
        <v>340</v>
      </c>
      <c r="C59" s="162" t="s">
        <v>281</v>
      </c>
      <c r="D59" s="155"/>
      <c r="E59" s="152"/>
      <c r="F59" s="37"/>
      <c r="G59" s="37"/>
      <c r="H59" s="37"/>
      <c r="I59" s="37"/>
      <c r="J59" s="38"/>
      <c r="K59" s="102" t="s">
        <v>271</v>
      </c>
      <c r="L59" s="146">
        <v>3204133135</v>
      </c>
      <c r="M59" s="115"/>
    </row>
    <row r="60" spans="1:13" s="28" customFormat="1" ht="12.75">
      <c r="A60" s="164" t="s">
        <v>144</v>
      </c>
      <c r="B60" s="153" t="s">
        <v>339</v>
      </c>
      <c r="C60" s="162" t="s">
        <v>159</v>
      </c>
      <c r="D60" s="155">
        <v>1.474</v>
      </c>
      <c r="E60" s="152"/>
      <c r="F60" s="37"/>
      <c r="G60" s="37"/>
      <c r="H60" s="37">
        <f>361.76/168*120</f>
        <v>258.4</v>
      </c>
      <c r="I60" s="37"/>
      <c r="J60" s="38">
        <v>810</v>
      </c>
      <c r="K60" s="102" t="s">
        <v>273</v>
      </c>
      <c r="L60" s="146">
        <v>3234621398</v>
      </c>
      <c r="M60" s="115"/>
    </row>
    <row r="61" spans="1:13" s="28" customFormat="1" ht="12.75">
      <c r="A61" s="164" t="s">
        <v>147</v>
      </c>
      <c r="B61" s="153" t="s">
        <v>338</v>
      </c>
      <c r="C61" s="162" t="s">
        <v>163</v>
      </c>
      <c r="D61" s="155">
        <v>1.309</v>
      </c>
      <c r="E61" s="152"/>
      <c r="F61" s="37"/>
      <c r="G61" s="37"/>
      <c r="H61" s="37">
        <f>122.43/168*120</f>
        <v>87.45</v>
      </c>
      <c r="I61" s="37"/>
      <c r="J61" s="38">
        <v>600</v>
      </c>
      <c r="K61" s="102" t="s">
        <v>271</v>
      </c>
      <c r="L61" s="146">
        <v>3204240808</v>
      </c>
      <c r="M61" s="115"/>
    </row>
    <row r="62" spans="1:13" s="28" customFormat="1" ht="12.75">
      <c r="A62" s="164" t="s">
        <v>150</v>
      </c>
      <c r="B62" s="153" t="s">
        <v>337</v>
      </c>
      <c r="C62" s="162" t="s">
        <v>166</v>
      </c>
      <c r="D62" s="155">
        <v>1.547</v>
      </c>
      <c r="E62" s="152"/>
      <c r="F62" s="37"/>
      <c r="G62" s="37"/>
      <c r="H62" s="37">
        <f>72.35/168*120</f>
        <v>51.67857142857142</v>
      </c>
      <c r="I62" s="37"/>
      <c r="J62" s="38"/>
      <c r="K62" s="102" t="s">
        <v>271</v>
      </c>
      <c r="L62" s="146">
        <v>3204197043</v>
      </c>
      <c r="M62" s="115"/>
    </row>
    <row r="63" spans="1:13" s="28" customFormat="1" ht="12.75">
      <c r="A63" s="164" t="s">
        <v>153</v>
      </c>
      <c r="B63" s="153" t="s">
        <v>336</v>
      </c>
      <c r="C63" s="162" t="s">
        <v>169</v>
      </c>
      <c r="D63" s="155">
        <v>1.408</v>
      </c>
      <c r="E63" s="152"/>
      <c r="F63" s="37"/>
      <c r="G63" s="37"/>
      <c r="H63" s="37">
        <f>65.86/168*120</f>
        <v>47.04285714285714</v>
      </c>
      <c r="I63" s="37"/>
      <c r="J63" s="38">
        <v>768</v>
      </c>
      <c r="K63" s="102" t="s">
        <v>271</v>
      </c>
      <c r="L63" s="146">
        <v>3204079515</v>
      </c>
      <c r="M63" s="115"/>
    </row>
    <row r="64" spans="1:13" s="28" customFormat="1" ht="12.75">
      <c r="A64" s="164" t="s">
        <v>156</v>
      </c>
      <c r="B64" s="153" t="s">
        <v>335</v>
      </c>
      <c r="C64" s="162" t="s">
        <v>172</v>
      </c>
      <c r="D64" s="155">
        <v>1.322</v>
      </c>
      <c r="E64" s="152"/>
      <c r="F64" s="37">
        <f>687.6/168*120</f>
        <v>491.1428571428572</v>
      </c>
      <c r="G64" s="37"/>
      <c r="H64" s="37">
        <f>270.48/168*120</f>
        <v>193.20000000000002</v>
      </c>
      <c r="I64" s="37"/>
      <c r="J64" s="38">
        <v>650</v>
      </c>
      <c r="K64" s="102" t="s">
        <v>271</v>
      </c>
      <c r="L64" s="146">
        <v>3209023009</v>
      </c>
      <c r="M64" s="115"/>
    </row>
    <row r="65" spans="1:13" s="28" customFormat="1" ht="12.75">
      <c r="A65" s="164" t="s">
        <v>157</v>
      </c>
      <c r="B65" s="153" t="s">
        <v>334</v>
      </c>
      <c r="C65" s="162" t="s">
        <v>175</v>
      </c>
      <c r="D65" s="155">
        <v>1.054</v>
      </c>
      <c r="E65" s="152"/>
      <c r="F65" s="37"/>
      <c r="G65" s="37"/>
      <c r="H65" s="37">
        <f>246.64/168*120</f>
        <v>176.17142857142858</v>
      </c>
      <c r="I65" s="37"/>
      <c r="J65" s="38"/>
      <c r="K65" s="102" t="s">
        <v>271</v>
      </c>
      <c r="L65" s="146">
        <v>3204010100</v>
      </c>
      <c r="M65" s="115"/>
    </row>
    <row r="66" spans="1:13" s="28" customFormat="1" ht="12.75">
      <c r="A66" s="164" t="s">
        <v>160</v>
      </c>
      <c r="B66" s="153" t="s">
        <v>333</v>
      </c>
      <c r="C66" s="162" t="s">
        <v>181</v>
      </c>
      <c r="D66" s="155">
        <v>0.688</v>
      </c>
      <c r="E66" s="152"/>
      <c r="F66" s="37"/>
      <c r="G66" s="37"/>
      <c r="H66" s="37">
        <f>160.88/168*120</f>
        <v>114.91428571428571</v>
      </c>
      <c r="I66" s="37"/>
      <c r="J66" s="38">
        <v>250</v>
      </c>
      <c r="K66" s="102" t="s">
        <v>271</v>
      </c>
      <c r="L66" s="146">
        <v>3204016235</v>
      </c>
      <c r="M66" s="115"/>
    </row>
    <row r="67" spans="1:13" s="28" customFormat="1" ht="12.75">
      <c r="A67" s="164" t="s">
        <v>161</v>
      </c>
      <c r="B67" s="153" t="s">
        <v>332</v>
      </c>
      <c r="C67" s="162" t="s">
        <v>184</v>
      </c>
      <c r="D67" s="155">
        <v>0.182</v>
      </c>
      <c r="E67" s="152"/>
      <c r="F67" s="37"/>
      <c r="G67" s="37"/>
      <c r="H67" s="37"/>
      <c r="I67" s="37"/>
      <c r="J67" s="38"/>
      <c r="K67" s="102" t="s">
        <v>271</v>
      </c>
      <c r="L67" s="146">
        <v>3204072195</v>
      </c>
      <c r="M67" s="115"/>
    </row>
    <row r="68" spans="1:13" s="28" customFormat="1" ht="12.75">
      <c r="A68" s="164" t="s">
        <v>164</v>
      </c>
      <c r="B68" s="153" t="s">
        <v>331</v>
      </c>
      <c r="C68" s="162" t="s">
        <v>187</v>
      </c>
      <c r="D68" s="155">
        <v>0.332</v>
      </c>
      <c r="E68" s="152"/>
      <c r="F68" s="37"/>
      <c r="G68" s="37"/>
      <c r="H68" s="37">
        <f>77.2/168*120</f>
        <v>55.142857142857146</v>
      </c>
      <c r="I68" s="37"/>
      <c r="J68" s="38"/>
      <c r="K68" s="102" t="s">
        <v>271</v>
      </c>
      <c r="L68" s="146">
        <v>3204079960</v>
      </c>
      <c r="M68" s="115"/>
    </row>
    <row r="69" spans="1:13" s="28" customFormat="1" ht="12.75">
      <c r="A69" s="164" t="s">
        <v>167</v>
      </c>
      <c r="B69" s="153" t="s">
        <v>330</v>
      </c>
      <c r="C69" s="162" t="s">
        <v>190</v>
      </c>
      <c r="D69" s="155">
        <v>0.701</v>
      </c>
      <c r="E69" s="152"/>
      <c r="F69" s="37"/>
      <c r="G69" s="37"/>
      <c r="H69" s="37">
        <f>163.92/168*120</f>
        <v>117.08571428571427</v>
      </c>
      <c r="I69" s="37"/>
      <c r="J69" s="38">
        <v>250</v>
      </c>
      <c r="K69" s="102" t="s">
        <v>271</v>
      </c>
      <c r="L69" s="146">
        <v>3203970986</v>
      </c>
      <c r="M69" s="115"/>
    </row>
    <row r="70" spans="1:13" s="28" customFormat="1" ht="12.75">
      <c r="A70" s="164" t="s">
        <v>170</v>
      </c>
      <c r="B70" s="153" t="s">
        <v>329</v>
      </c>
      <c r="C70" s="162" t="s">
        <v>193</v>
      </c>
      <c r="D70" s="155">
        <v>0.67</v>
      </c>
      <c r="E70" s="152"/>
      <c r="F70" s="37"/>
      <c r="G70" s="37"/>
      <c r="H70" s="37">
        <f>156.64/168*120</f>
        <v>111.88571428571427</v>
      </c>
      <c r="I70" s="37"/>
      <c r="J70" s="38">
        <v>250</v>
      </c>
      <c r="K70" s="102" t="s">
        <v>271</v>
      </c>
      <c r="L70" s="146">
        <v>3204067208</v>
      </c>
      <c r="M70" s="115"/>
    </row>
    <row r="71" spans="1:13" s="28" customFormat="1" ht="12.75">
      <c r="A71" s="164" t="s">
        <v>173</v>
      </c>
      <c r="B71" s="153" t="s">
        <v>328</v>
      </c>
      <c r="C71" s="162" t="s">
        <v>196</v>
      </c>
      <c r="D71" s="155">
        <v>0.657</v>
      </c>
      <c r="E71" s="152"/>
      <c r="F71" s="37"/>
      <c r="G71" s="37"/>
      <c r="H71" s="37">
        <f>154.32/168*120</f>
        <v>110.22857142857141</v>
      </c>
      <c r="I71" s="37"/>
      <c r="J71" s="38">
        <v>250</v>
      </c>
      <c r="K71" s="102" t="s">
        <v>271</v>
      </c>
      <c r="L71" s="146">
        <v>3204142989</v>
      </c>
      <c r="M71" s="115"/>
    </row>
    <row r="72" spans="1:13" s="28" customFormat="1" ht="12.75">
      <c r="A72" s="164" t="s">
        <v>176</v>
      </c>
      <c r="B72" s="153" t="s">
        <v>327</v>
      </c>
      <c r="C72" s="162" t="s">
        <v>199</v>
      </c>
      <c r="D72" s="155">
        <v>0.67</v>
      </c>
      <c r="E72" s="152"/>
      <c r="F72" s="37"/>
      <c r="G72" s="37"/>
      <c r="H72" s="37"/>
      <c r="I72" s="37"/>
      <c r="J72" s="38">
        <v>600</v>
      </c>
      <c r="K72" s="102" t="s">
        <v>271</v>
      </c>
      <c r="L72" s="146">
        <v>3209666848</v>
      </c>
      <c r="M72" s="115"/>
    </row>
    <row r="73" spans="1:13" s="28" customFormat="1" ht="12.75">
      <c r="A73" s="164" t="s">
        <v>179</v>
      </c>
      <c r="B73" s="153" t="s">
        <v>326</v>
      </c>
      <c r="C73" s="162" t="s">
        <v>202</v>
      </c>
      <c r="D73" s="155">
        <v>0.159</v>
      </c>
      <c r="E73" s="152"/>
      <c r="F73" s="37"/>
      <c r="G73" s="37"/>
      <c r="H73" s="37"/>
      <c r="I73" s="37"/>
      <c r="J73" s="38"/>
      <c r="K73" s="102" t="s">
        <v>271</v>
      </c>
      <c r="L73" s="146">
        <v>3212211696</v>
      </c>
      <c r="M73" s="115"/>
    </row>
    <row r="74" spans="1:13" s="28" customFormat="1" ht="12.75">
      <c r="A74" s="164" t="s">
        <v>182</v>
      </c>
      <c r="B74" s="153" t="s">
        <v>325</v>
      </c>
      <c r="C74" s="162" t="s">
        <v>205</v>
      </c>
      <c r="D74" s="155">
        <v>0.88</v>
      </c>
      <c r="E74" s="152"/>
      <c r="F74" s="37"/>
      <c r="G74" s="37"/>
      <c r="H74" s="37">
        <f>206.72/168*120</f>
        <v>147.65714285714287</v>
      </c>
      <c r="I74" s="37"/>
      <c r="J74" s="38">
        <v>850</v>
      </c>
      <c r="K74" s="102" t="s">
        <v>271</v>
      </c>
      <c r="L74" s="146">
        <v>3204034361</v>
      </c>
      <c r="M74" s="115"/>
    </row>
    <row r="75" spans="1:13" s="28" customFormat="1" ht="12.75">
      <c r="A75" s="164" t="s">
        <v>185</v>
      </c>
      <c r="B75" s="153" t="s">
        <v>324</v>
      </c>
      <c r="C75" s="162" t="s">
        <v>208</v>
      </c>
      <c r="D75" s="155">
        <v>0.688</v>
      </c>
      <c r="E75" s="152"/>
      <c r="F75" s="37"/>
      <c r="G75" s="37"/>
      <c r="H75" s="37">
        <f>160.88/168*120</f>
        <v>114.91428571428571</v>
      </c>
      <c r="I75" s="37"/>
      <c r="J75" s="38">
        <v>250</v>
      </c>
      <c r="K75" s="165" t="s">
        <v>278</v>
      </c>
      <c r="L75" s="146">
        <v>3203218021</v>
      </c>
      <c r="M75" s="115"/>
    </row>
    <row r="76" spans="1:13" s="28" customFormat="1" ht="12.75">
      <c r="A76" s="164" t="s">
        <v>188</v>
      </c>
      <c r="B76" s="153" t="s">
        <v>323</v>
      </c>
      <c r="C76" s="162" t="s">
        <v>211</v>
      </c>
      <c r="D76" s="155">
        <v>1.395</v>
      </c>
      <c r="E76" s="152">
        <f>160.56/168*120</f>
        <v>114.68571428571428</v>
      </c>
      <c r="F76" s="37"/>
      <c r="G76" s="37"/>
      <c r="H76" s="37">
        <f>326.24/168*120</f>
        <v>233.02857142857144</v>
      </c>
      <c r="I76" s="37"/>
      <c r="J76" s="38">
        <v>250</v>
      </c>
      <c r="K76" s="102" t="s">
        <v>276</v>
      </c>
      <c r="L76" s="146">
        <v>3242020709</v>
      </c>
      <c r="M76" s="115"/>
    </row>
    <row r="77" spans="1:13" s="28" customFormat="1" ht="12.75">
      <c r="A77" s="164" t="s">
        <v>191</v>
      </c>
      <c r="B77" s="153" t="s">
        <v>322</v>
      </c>
      <c r="C77" s="162" t="s">
        <v>214</v>
      </c>
      <c r="D77" s="155">
        <v>1.329</v>
      </c>
      <c r="E77" s="152"/>
      <c r="F77" s="37"/>
      <c r="G77" s="37"/>
      <c r="H77" s="37">
        <f>310.56/168*120</f>
        <v>221.82857142857142</v>
      </c>
      <c r="I77" s="37">
        <f>675.39/168*120</f>
        <v>482.4214285714286</v>
      </c>
      <c r="J77" s="37"/>
      <c r="K77" s="100" t="s">
        <v>271</v>
      </c>
      <c r="L77" s="146">
        <v>3207325476</v>
      </c>
      <c r="M77" s="115"/>
    </row>
    <row r="78" spans="1:13" s="28" customFormat="1" ht="12.75">
      <c r="A78" s="164" t="s">
        <v>194</v>
      </c>
      <c r="B78" s="153" t="s">
        <v>321</v>
      </c>
      <c r="C78" s="162" t="s">
        <v>217</v>
      </c>
      <c r="D78" s="155">
        <v>1.335</v>
      </c>
      <c r="E78" s="152">
        <f>263.4/168*120</f>
        <v>188.1428571428571</v>
      </c>
      <c r="F78" s="37"/>
      <c r="G78" s="37"/>
      <c r="H78" s="37">
        <f>312.16/168*120</f>
        <v>222.9714285714286</v>
      </c>
      <c r="I78" s="37"/>
      <c r="J78" s="37">
        <v>250</v>
      </c>
      <c r="K78" s="100" t="s">
        <v>275</v>
      </c>
      <c r="L78" s="146">
        <v>3220513030</v>
      </c>
      <c r="M78" s="115"/>
    </row>
    <row r="79" spans="1:13" s="28" customFormat="1" ht="12.75">
      <c r="A79" s="164" t="s">
        <v>197</v>
      </c>
      <c r="B79" s="153" t="s">
        <v>320</v>
      </c>
      <c r="C79" s="162" t="s">
        <v>222</v>
      </c>
      <c r="D79" s="155">
        <v>1.309</v>
      </c>
      <c r="E79" s="152">
        <f>282.49/168*120</f>
        <v>201.77857142857144</v>
      </c>
      <c r="F79" s="37"/>
      <c r="G79" s="37">
        <v>72.56</v>
      </c>
      <c r="H79" s="37">
        <f>306.08/168*120</f>
        <v>218.62857142857143</v>
      </c>
      <c r="I79" s="37"/>
      <c r="J79" s="37">
        <v>1956</v>
      </c>
      <c r="K79" s="100" t="s">
        <v>276</v>
      </c>
      <c r="L79" s="146">
        <v>3243353856</v>
      </c>
      <c r="M79" s="115"/>
    </row>
    <row r="80" spans="1:13" s="28" customFormat="1" ht="12.75">
      <c r="A80" s="164" t="s">
        <v>200</v>
      </c>
      <c r="B80" s="153" t="s">
        <v>319</v>
      </c>
      <c r="C80" s="162" t="s">
        <v>225</v>
      </c>
      <c r="D80" s="155">
        <v>2.3</v>
      </c>
      <c r="E80" s="152"/>
      <c r="F80" s="37"/>
      <c r="G80" s="37"/>
      <c r="H80" s="37"/>
      <c r="I80" s="37"/>
      <c r="J80" s="37">
        <v>810</v>
      </c>
      <c r="K80" s="100" t="s">
        <v>271</v>
      </c>
      <c r="L80" s="146">
        <v>3204010433</v>
      </c>
      <c r="M80" s="115"/>
    </row>
    <row r="81" spans="1:13" s="28" customFormat="1" ht="12.75">
      <c r="A81" s="164" t="s">
        <v>203</v>
      </c>
      <c r="B81" s="153" t="s">
        <v>318</v>
      </c>
      <c r="C81" s="162" t="s">
        <v>228</v>
      </c>
      <c r="D81" s="155">
        <v>1.466</v>
      </c>
      <c r="E81" s="152"/>
      <c r="F81" s="37"/>
      <c r="G81" s="37"/>
      <c r="H81" s="37"/>
      <c r="I81" s="37"/>
      <c r="J81" s="38">
        <v>250</v>
      </c>
      <c r="K81" s="102" t="s">
        <v>271</v>
      </c>
      <c r="L81" s="146">
        <v>3204010191</v>
      </c>
      <c r="M81" s="115"/>
    </row>
    <row r="82" spans="1:13" s="28" customFormat="1" ht="12.75">
      <c r="A82" s="164" t="s">
        <v>206</v>
      </c>
      <c r="B82" s="153" t="s">
        <v>317</v>
      </c>
      <c r="C82" s="162" t="s">
        <v>231</v>
      </c>
      <c r="D82" s="155">
        <v>1.277</v>
      </c>
      <c r="E82" s="152"/>
      <c r="F82" s="37"/>
      <c r="G82" s="37"/>
      <c r="H82" s="37"/>
      <c r="I82" s="37"/>
      <c r="J82" s="38">
        <v>250</v>
      </c>
      <c r="K82" s="102" t="s">
        <v>271</v>
      </c>
      <c r="L82" s="146">
        <v>3203942467</v>
      </c>
      <c r="M82" s="115"/>
    </row>
    <row r="83" spans="1:13" s="28" customFormat="1" ht="12.75">
      <c r="A83" s="164" t="s">
        <v>209</v>
      </c>
      <c r="B83" s="153" t="s">
        <v>316</v>
      </c>
      <c r="C83" s="162" t="s">
        <v>388</v>
      </c>
      <c r="D83" s="155"/>
      <c r="E83" s="152"/>
      <c r="F83" s="37"/>
      <c r="G83" s="37"/>
      <c r="H83" s="37"/>
      <c r="I83" s="37"/>
      <c r="J83" s="38"/>
      <c r="K83" s="102" t="s">
        <v>271</v>
      </c>
      <c r="L83" s="146"/>
      <c r="M83" s="115"/>
    </row>
    <row r="84" spans="1:13" s="28" customFormat="1" ht="12.75">
      <c r="A84" s="164" t="s">
        <v>212</v>
      </c>
      <c r="B84" s="153" t="s">
        <v>315</v>
      </c>
      <c r="C84" s="162" t="s">
        <v>233</v>
      </c>
      <c r="D84" s="155">
        <v>1.568</v>
      </c>
      <c r="E84" s="152"/>
      <c r="F84" s="37"/>
      <c r="G84" s="37"/>
      <c r="H84" s="37">
        <f>146.66/168*120</f>
        <v>104.75714285714285</v>
      </c>
      <c r="I84" s="37"/>
      <c r="J84" s="38">
        <v>250</v>
      </c>
      <c r="K84" s="102" t="s">
        <v>271</v>
      </c>
      <c r="L84" s="146">
        <v>3203978191</v>
      </c>
      <c r="M84" s="115"/>
    </row>
    <row r="85" spans="1:13" s="28" customFormat="1" ht="12.75">
      <c r="A85" s="164" t="s">
        <v>215</v>
      </c>
      <c r="B85" s="153" t="s">
        <v>314</v>
      </c>
      <c r="C85" s="162" t="s">
        <v>235</v>
      </c>
      <c r="D85" s="155">
        <v>1.05</v>
      </c>
      <c r="E85" s="152"/>
      <c r="F85" s="37"/>
      <c r="G85" s="37"/>
      <c r="H85" s="37"/>
      <c r="I85" s="37"/>
      <c r="J85" s="38"/>
      <c r="K85" s="102" t="s">
        <v>271</v>
      </c>
      <c r="L85" s="146">
        <v>3204010505</v>
      </c>
      <c r="M85" s="115"/>
    </row>
    <row r="86" spans="1:13" s="28" customFormat="1" ht="12.75">
      <c r="A86" s="164" t="s">
        <v>218</v>
      </c>
      <c r="B86" s="153" t="s">
        <v>313</v>
      </c>
      <c r="C86" s="162" t="s">
        <v>237</v>
      </c>
      <c r="D86" s="155">
        <v>0.33</v>
      </c>
      <c r="E86" s="152"/>
      <c r="F86" s="37"/>
      <c r="G86" s="37"/>
      <c r="H86" s="37">
        <f>77.48/168*120</f>
        <v>55.34285714285714</v>
      </c>
      <c r="I86" s="37"/>
      <c r="J86" s="38"/>
      <c r="K86" s="102" t="s">
        <v>271</v>
      </c>
      <c r="L86" s="146">
        <v>3204169869</v>
      </c>
      <c r="M86" s="115"/>
    </row>
    <row r="87" spans="1:13" s="28" customFormat="1" ht="12.75">
      <c r="A87" s="164" t="s">
        <v>219</v>
      </c>
      <c r="B87" s="153" t="s">
        <v>311</v>
      </c>
      <c r="C87" s="162" t="s">
        <v>241</v>
      </c>
      <c r="D87" s="155">
        <v>1.06</v>
      </c>
      <c r="E87" s="152">
        <f>244/168*120</f>
        <v>174.28571428571428</v>
      </c>
      <c r="F87" s="37"/>
      <c r="G87" s="37">
        <v>272.13</v>
      </c>
      <c r="H87" s="37">
        <f>248.96/168*120</f>
        <v>177.82857142857145</v>
      </c>
      <c r="I87" s="37"/>
      <c r="J87" s="38">
        <v>752</v>
      </c>
      <c r="K87" s="102" t="s">
        <v>271</v>
      </c>
      <c r="L87" s="146">
        <v>3205778577</v>
      </c>
      <c r="M87" s="115"/>
    </row>
    <row r="88" spans="1:13" s="28" customFormat="1" ht="12.75">
      <c r="A88" s="164" t="s">
        <v>220</v>
      </c>
      <c r="B88" s="153" t="s">
        <v>312</v>
      </c>
      <c r="C88" s="162" t="s">
        <v>243</v>
      </c>
      <c r="D88" s="155">
        <v>0.316</v>
      </c>
      <c r="E88" s="152"/>
      <c r="F88" s="37"/>
      <c r="G88" s="37"/>
      <c r="H88" s="37">
        <f>70.48/168*120</f>
        <v>50.34285714285714</v>
      </c>
      <c r="I88" s="37"/>
      <c r="J88" s="38">
        <v>600</v>
      </c>
      <c r="K88" s="165" t="s">
        <v>279</v>
      </c>
      <c r="L88" s="146">
        <v>3200516734</v>
      </c>
      <c r="M88" s="115"/>
    </row>
    <row r="89" spans="1:13" s="28" customFormat="1" ht="12.75">
      <c r="A89" s="164" t="s">
        <v>223</v>
      </c>
      <c r="B89" s="153" t="s">
        <v>310</v>
      </c>
      <c r="C89" s="162" t="s">
        <v>245</v>
      </c>
      <c r="D89" s="155">
        <v>1.329</v>
      </c>
      <c r="E89" s="152"/>
      <c r="F89" s="37"/>
      <c r="G89" s="37"/>
      <c r="H89" s="37">
        <f>312.16/168*120</f>
        <v>222.9714285714286</v>
      </c>
      <c r="I89" s="37">
        <f>233.19/168*120</f>
        <v>166.56428571428572</v>
      </c>
      <c r="J89" s="38">
        <v>830</v>
      </c>
      <c r="K89" s="102" t="s">
        <v>271</v>
      </c>
      <c r="L89" s="146">
        <v>3204141898</v>
      </c>
      <c r="M89" s="115"/>
    </row>
    <row r="90" spans="1:13" s="28" customFormat="1" ht="12.75">
      <c r="A90" s="164" t="s">
        <v>226</v>
      </c>
      <c r="B90" s="153" t="s">
        <v>309</v>
      </c>
      <c r="C90" s="162" t="s">
        <v>247</v>
      </c>
      <c r="D90" s="155">
        <v>1.342</v>
      </c>
      <c r="E90" s="152"/>
      <c r="F90" s="37"/>
      <c r="G90" s="37"/>
      <c r="H90" s="37">
        <f>315.2/168*120</f>
        <v>225.14285714285714</v>
      </c>
      <c r="I90" s="37"/>
      <c r="J90" s="38">
        <v>600</v>
      </c>
      <c r="K90" s="102" t="s">
        <v>275</v>
      </c>
      <c r="L90" s="146">
        <v>3221235503</v>
      </c>
      <c r="M90" s="115"/>
    </row>
    <row r="91" spans="1:13" s="28" customFormat="1" ht="12.75">
      <c r="A91" s="224" t="s">
        <v>229</v>
      </c>
      <c r="B91" s="225" t="s">
        <v>308</v>
      </c>
      <c r="C91" s="226" t="s">
        <v>249</v>
      </c>
      <c r="D91" s="157">
        <v>1.324</v>
      </c>
      <c r="E91" s="222">
        <f>198.65/168*120</f>
        <v>141.89285714285717</v>
      </c>
      <c r="F91" s="43"/>
      <c r="G91" s="43"/>
      <c r="H91" s="43">
        <f>309.6/168*120</f>
        <v>221.14285714285717</v>
      </c>
      <c r="I91" s="43"/>
      <c r="J91" s="44">
        <v>600</v>
      </c>
      <c r="K91" s="103" t="s">
        <v>275</v>
      </c>
      <c r="L91" s="147">
        <v>3223040861</v>
      </c>
      <c r="M91" s="115"/>
    </row>
    <row r="92" spans="1:13" s="28" customFormat="1" ht="12.75">
      <c r="A92" s="39" t="s">
        <v>297</v>
      </c>
      <c r="B92" s="35" t="s">
        <v>307</v>
      </c>
      <c r="C92" s="36" t="s">
        <v>303</v>
      </c>
      <c r="D92" s="233">
        <v>1.124</v>
      </c>
      <c r="E92" s="37">
        <v>64.68</v>
      </c>
      <c r="F92" s="37"/>
      <c r="G92" s="37"/>
      <c r="H92" s="37">
        <f>264.02/168*120</f>
        <v>188.5857142857143</v>
      </c>
      <c r="I92" s="37"/>
      <c r="J92" s="37">
        <v>830</v>
      </c>
      <c r="K92" s="102" t="s">
        <v>271</v>
      </c>
      <c r="L92" s="118"/>
      <c r="M92" s="115"/>
    </row>
    <row r="93" spans="1:13" s="28" customFormat="1" ht="12.75">
      <c r="A93" s="39" t="s">
        <v>300</v>
      </c>
      <c r="B93" s="35" t="s">
        <v>306</v>
      </c>
      <c r="C93" s="36" t="s">
        <v>282</v>
      </c>
      <c r="D93" s="233"/>
      <c r="E93" s="37"/>
      <c r="F93" s="37"/>
      <c r="G93" s="37"/>
      <c r="H93" s="37"/>
      <c r="I93" s="37"/>
      <c r="J93" s="37"/>
      <c r="K93" s="102" t="s">
        <v>271</v>
      </c>
      <c r="L93" s="113">
        <v>3204212845</v>
      </c>
      <c r="M93" s="115"/>
    </row>
    <row r="94" spans="1:13" s="175" customFormat="1" ht="19.5" thickBot="1">
      <c r="A94" s="227"/>
      <c r="B94" s="228" t="s">
        <v>238</v>
      </c>
      <c r="C94" s="229"/>
      <c r="D94" s="230"/>
      <c r="E94" s="231">
        <f aca="true" t="shared" si="0" ref="E94:J94">SUM(E6:E93)</f>
        <v>6740.853333333333</v>
      </c>
      <c r="F94" s="231">
        <f t="shared" si="0"/>
        <v>2367.942857142857</v>
      </c>
      <c r="G94" s="231">
        <f t="shared" si="0"/>
        <v>4875.400000000001</v>
      </c>
      <c r="H94" s="231">
        <f t="shared" si="0"/>
        <v>14437.69142857143</v>
      </c>
      <c r="I94" s="231">
        <f t="shared" si="0"/>
        <v>2971.3142857142857</v>
      </c>
      <c r="J94" s="231">
        <f t="shared" si="0"/>
        <v>32138</v>
      </c>
      <c r="K94" s="212"/>
      <c r="L94" s="232"/>
      <c r="M94" s="174"/>
    </row>
    <row r="95" spans="4:13" s="28" customFormat="1" ht="12.75">
      <c r="D95" s="156"/>
      <c r="E95" s="73"/>
      <c r="K95" s="105"/>
      <c r="L95" s="116"/>
      <c r="M95" s="115"/>
    </row>
    <row r="96" spans="4:13" s="28" customFormat="1" ht="12.75">
      <c r="D96" s="156"/>
      <c r="E96" s="77"/>
      <c r="K96" s="105"/>
      <c r="L96" s="116"/>
      <c r="M96" s="115"/>
    </row>
    <row r="97" spans="4:13" s="28" customFormat="1" ht="12.75">
      <c r="D97" s="156"/>
      <c r="E97" s="77"/>
      <c r="K97" s="105"/>
      <c r="L97" s="116"/>
      <c r="M97" s="115"/>
    </row>
    <row r="98" spans="4:13" s="28" customFormat="1" ht="12.75">
      <c r="D98" s="156"/>
      <c r="E98" s="77"/>
      <c r="K98" s="105"/>
      <c r="L98" s="116"/>
      <c r="M98" s="115"/>
    </row>
    <row r="99" spans="4:13" s="28" customFormat="1" ht="12.75">
      <c r="D99" s="156"/>
      <c r="E99" s="77"/>
      <c r="K99" s="105"/>
      <c r="L99" s="116"/>
      <c r="M99" s="115"/>
    </row>
    <row r="100" spans="4:13" s="28" customFormat="1" ht="12.75">
      <c r="D100" s="156"/>
      <c r="E100" s="77"/>
      <c r="K100" s="105"/>
      <c r="L100" s="116"/>
      <c r="M100" s="115"/>
    </row>
    <row r="101" spans="4:13" s="28" customFormat="1" ht="12.75">
      <c r="D101" s="156"/>
      <c r="E101" s="77"/>
      <c r="K101" s="105"/>
      <c r="L101" s="116"/>
      <c r="M101" s="115"/>
    </row>
    <row r="102" spans="4:13" s="28" customFormat="1" ht="12.75">
      <c r="D102" s="156"/>
      <c r="E102" s="77"/>
      <c r="K102" s="105"/>
      <c r="L102" s="116"/>
      <c r="M102" s="115"/>
    </row>
    <row r="103" spans="4:13" s="28" customFormat="1" ht="12.75">
      <c r="D103" s="156"/>
      <c r="E103" s="77"/>
      <c r="K103" s="105"/>
      <c r="L103" s="116"/>
      <c r="M103" s="115"/>
    </row>
    <row r="104" spans="4:13" s="28" customFormat="1" ht="12.75">
      <c r="D104" s="156"/>
      <c r="E104" s="77"/>
      <c r="K104" s="105"/>
      <c r="L104" s="116"/>
      <c r="M104" s="115"/>
    </row>
    <row r="105" spans="4:13" s="28" customFormat="1" ht="12.75">
      <c r="D105" s="156"/>
      <c r="E105" s="77"/>
      <c r="K105" s="105"/>
      <c r="L105" s="116"/>
      <c r="M105" s="115"/>
    </row>
    <row r="106" spans="4:13" s="28" customFormat="1" ht="12.75">
      <c r="D106" s="156"/>
      <c r="E106" s="77"/>
      <c r="K106" s="105"/>
      <c r="L106" s="116"/>
      <c r="M106" s="115"/>
    </row>
    <row r="107" spans="4:13" s="28" customFormat="1" ht="12.75">
      <c r="D107" s="156"/>
      <c r="E107" s="77"/>
      <c r="K107" s="105"/>
      <c r="L107" s="116"/>
      <c r="M107" s="115"/>
    </row>
    <row r="108" spans="4:13" s="28" customFormat="1" ht="12.75">
      <c r="D108" s="156"/>
      <c r="E108" s="77"/>
      <c r="K108" s="105"/>
      <c r="L108" s="116"/>
      <c r="M108" s="115"/>
    </row>
    <row r="109" spans="4:13" s="28" customFormat="1" ht="12.75">
      <c r="D109" s="156"/>
      <c r="E109" s="77"/>
      <c r="K109" s="105"/>
      <c r="L109" s="116"/>
      <c r="M109" s="115"/>
    </row>
    <row r="110" spans="4:13" s="28" customFormat="1" ht="12.75">
      <c r="D110" s="156"/>
      <c r="E110" s="77"/>
      <c r="K110" s="105"/>
      <c r="L110" s="116"/>
      <c r="M110" s="115"/>
    </row>
    <row r="111" spans="4:13" s="28" customFormat="1" ht="12.75">
      <c r="D111" s="156"/>
      <c r="E111" s="77"/>
      <c r="K111" s="105"/>
      <c r="L111" s="116"/>
      <c r="M111" s="115"/>
    </row>
    <row r="112" spans="4:13" s="28" customFormat="1" ht="12.75">
      <c r="D112" s="156"/>
      <c r="E112" s="77"/>
      <c r="K112" s="105"/>
      <c r="L112" s="116"/>
      <c r="M112" s="115"/>
    </row>
    <row r="113" spans="4:13" s="28" customFormat="1" ht="12.75">
      <c r="D113" s="156"/>
      <c r="E113" s="77"/>
      <c r="K113" s="105"/>
      <c r="L113" s="116"/>
      <c r="M113" s="115"/>
    </row>
    <row r="114" spans="4:13" s="28" customFormat="1" ht="12.75">
      <c r="D114" s="156"/>
      <c r="E114" s="77"/>
      <c r="K114" s="105"/>
      <c r="L114" s="116"/>
      <c r="M114" s="115"/>
    </row>
    <row r="115" spans="4:13" s="28" customFormat="1" ht="12.75">
      <c r="D115" s="156"/>
      <c r="E115" s="77"/>
      <c r="K115" s="105"/>
      <c r="L115" s="116"/>
      <c r="M115" s="115"/>
    </row>
    <row r="116" spans="4:13" s="28" customFormat="1" ht="12.75">
      <c r="D116" s="156"/>
      <c r="E116" s="77"/>
      <c r="K116" s="105"/>
      <c r="L116" s="116"/>
      <c r="M116" s="115"/>
    </row>
    <row r="117" spans="4:13" s="28" customFormat="1" ht="12.75">
      <c r="D117" s="156"/>
      <c r="E117" s="77"/>
      <c r="K117" s="105"/>
      <c r="L117" s="116"/>
      <c r="M117" s="115"/>
    </row>
    <row r="118" spans="4:13" s="28" customFormat="1" ht="12.75">
      <c r="D118" s="156"/>
      <c r="E118" s="77"/>
      <c r="K118" s="105"/>
      <c r="L118" s="116"/>
      <c r="M118" s="115"/>
    </row>
    <row r="119" spans="4:13" s="28" customFormat="1" ht="12.75">
      <c r="D119" s="156"/>
      <c r="E119" s="77"/>
      <c r="K119" s="105"/>
      <c r="L119" s="116"/>
      <c r="M119" s="115"/>
    </row>
    <row r="120" spans="4:13" s="28" customFormat="1" ht="12.75">
      <c r="D120" s="156"/>
      <c r="E120" s="77"/>
      <c r="K120" s="105"/>
      <c r="L120" s="116"/>
      <c r="M120" s="115"/>
    </row>
    <row r="121" spans="4:13" s="28" customFormat="1" ht="12.75">
      <c r="D121" s="156"/>
      <c r="E121" s="77"/>
      <c r="K121" s="105"/>
      <c r="L121" s="116"/>
      <c r="M121" s="115"/>
    </row>
    <row r="122" spans="4:13" s="28" customFormat="1" ht="12.75">
      <c r="D122" s="156"/>
      <c r="E122" s="77"/>
      <c r="K122" s="105"/>
      <c r="L122" s="116"/>
      <c r="M122" s="115"/>
    </row>
    <row r="123" spans="4:13" s="28" customFormat="1" ht="12.75">
      <c r="D123" s="156"/>
      <c r="E123" s="77"/>
      <c r="K123" s="105"/>
      <c r="L123" s="116"/>
      <c r="M123" s="115"/>
    </row>
    <row r="124" spans="4:13" s="28" customFormat="1" ht="12.75">
      <c r="D124" s="156"/>
      <c r="E124" s="77"/>
      <c r="K124" s="105"/>
      <c r="L124" s="116"/>
      <c r="M124" s="115"/>
    </row>
    <row r="125" spans="4:13" s="28" customFormat="1" ht="12.75">
      <c r="D125" s="156"/>
      <c r="E125" s="77"/>
      <c r="K125" s="105"/>
      <c r="L125" s="116"/>
      <c r="M125" s="115"/>
    </row>
    <row r="126" spans="4:13" s="28" customFormat="1" ht="12.75">
      <c r="D126" s="156"/>
      <c r="E126" s="77"/>
      <c r="K126" s="105"/>
      <c r="L126" s="116"/>
      <c r="M126" s="115"/>
    </row>
    <row r="127" spans="4:13" s="28" customFormat="1" ht="12.75">
      <c r="D127" s="156"/>
      <c r="E127" s="77"/>
      <c r="K127" s="105"/>
      <c r="L127" s="116"/>
      <c r="M127" s="115"/>
    </row>
    <row r="128" spans="4:13" s="28" customFormat="1" ht="12.75">
      <c r="D128" s="156"/>
      <c r="E128" s="77"/>
      <c r="K128" s="105"/>
      <c r="L128" s="116"/>
      <c r="M128" s="115"/>
    </row>
    <row r="129" spans="4:13" s="28" customFormat="1" ht="12.75">
      <c r="D129" s="156"/>
      <c r="E129" s="77"/>
      <c r="K129" s="105"/>
      <c r="L129" s="116"/>
      <c r="M129" s="115"/>
    </row>
    <row r="130" spans="4:13" s="28" customFormat="1" ht="12.75">
      <c r="D130" s="156"/>
      <c r="E130" s="77"/>
      <c r="K130" s="105"/>
      <c r="L130" s="116"/>
      <c r="M130" s="115"/>
    </row>
    <row r="131" spans="4:13" s="28" customFormat="1" ht="12.75">
      <c r="D131" s="156"/>
      <c r="E131" s="77"/>
      <c r="K131" s="105"/>
      <c r="L131" s="116"/>
      <c r="M131" s="115"/>
    </row>
    <row r="132" spans="4:13" s="28" customFormat="1" ht="12.75">
      <c r="D132" s="156"/>
      <c r="E132" s="77"/>
      <c r="K132" s="105"/>
      <c r="L132" s="116"/>
      <c r="M132" s="115"/>
    </row>
    <row r="133" spans="4:13" s="28" customFormat="1" ht="12.75">
      <c r="D133" s="156"/>
      <c r="E133" s="77"/>
      <c r="K133" s="105"/>
      <c r="L133" s="116"/>
      <c r="M133" s="115"/>
    </row>
    <row r="134" spans="4:13" s="28" customFormat="1" ht="12.75">
      <c r="D134" s="156"/>
      <c r="E134" s="77"/>
      <c r="K134" s="105"/>
      <c r="L134" s="116"/>
      <c r="M134" s="115"/>
    </row>
    <row r="135" spans="4:13" s="28" customFormat="1" ht="12.75">
      <c r="D135" s="156"/>
      <c r="E135" s="77"/>
      <c r="K135" s="105"/>
      <c r="L135" s="116"/>
      <c r="M135" s="115"/>
    </row>
    <row r="136" spans="4:13" s="28" customFormat="1" ht="12.75">
      <c r="D136" s="156"/>
      <c r="E136" s="77"/>
      <c r="K136" s="105"/>
      <c r="L136" s="116"/>
      <c r="M136" s="115"/>
    </row>
    <row r="137" spans="4:13" s="28" customFormat="1" ht="12.75">
      <c r="D137" s="156"/>
      <c r="E137" s="77"/>
      <c r="K137" s="105"/>
      <c r="L137" s="116"/>
      <c r="M137" s="115"/>
    </row>
    <row r="138" spans="4:13" s="28" customFormat="1" ht="12.75">
      <c r="D138" s="156"/>
      <c r="E138" s="77"/>
      <c r="K138" s="105"/>
      <c r="L138" s="116"/>
      <c r="M138" s="115"/>
    </row>
    <row r="139" spans="4:13" s="28" customFormat="1" ht="12.75">
      <c r="D139" s="156"/>
      <c r="E139" s="77"/>
      <c r="K139" s="105"/>
      <c r="L139" s="116"/>
      <c r="M139" s="115"/>
    </row>
    <row r="140" spans="4:13" s="28" customFormat="1" ht="12.75">
      <c r="D140" s="156"/>
      <c r="E140" s="77"/>
      <c r="K140" s="105"/>
      <c r="L140" s="116"/>
      <c r="M140" s="115"/>
    </row>
    <row r="141" spans="4:13" s="28" customFormat="1" ht="12.75">
      <c r="D141" s="156"/>
      <c r="E141" s="77"/>
      <c r="K141" s="105"/>
      <c r="L141" s="116"/>
      <c r="M141" s="115"/>
    </row>
    <row r="142" spans="4:13" s="28" customFormat="1" ht="12.75">
      <c r="D142" s="156"/>
      <c r="E142" s="77"/>
      <c r="K142" s="105"/>
      <c r="L142" s="116"/>
      <c r="M142" s="115"/>
    </row>
    <row r="143" spans="4:13" s="28" customFormat="1" ht="12.75">
      <c r="D143" s="156"/>
      <c r="E143" s="77"/>
      <c r="K143" s="105"/>
      <c r="L143" s="116"/>
      <c r="M143" s="115"/>
    </row>
    <row r="144" spans="4:13" s="28" customFormat="1" ht="12.75">
      <c r="D144" s="156"/>
      <c r="E144" s="77"/>
      <c r="K144" s="105"/>
      <c r="L144" s="116"/>
      <c r="M144" s="115"/>
    </row>
    <row r="145" spans="4:13" s="28" customFormat="1" ht="12.75">
      <c r="D145" s="156"/>
      <c r="E145" s="77"/>
      <c r="K145" s="105"/>
      <c r="L145" s="116"/>
      <c r="M145" s="115"/>
    </row>
    <row r="146" spans="4:13" s="28" customFormat="1" ht="12.75">
      <c r="D146" s="156"/>
      <c r="E146" s="77"/>
      <c r="K146" s="105"/>
      <c r="L146" s="116"/>
      <c r="M146" s="115"/>
    </row>
    <row r="147" spans="4:13" s="28" customFormat="1" ht="12.75">
      <c r="D147" s="156"/>
      <c r="E147" s="77"/>
      <c r="K147" s="105"/>
      <c r="L147" s="116"/>
      <c r="M147" s="115"/>
    </row>
    <row r="148" spans="4:13" s="28" customFormat="1" ht="12.75">
      <c r="D148" s="156"/>
      <c r="E148" s="77"/>
      <c r="K148" s="105"/>
      <c r="L148" s="116"/>
      <c r="M148" s="115"/>
    </row>
    <row r="149" spans="4:13" s="28" customFormat="1" ht="12.75">
      <c r="D149" s="156"/>
      <c r="E149" s="77"/>
      <c r="K149" s="105"/>
      <c r="L149" s="116"/>
      <c r="M149" s="115"/>
    </row>
    <row r="150" spans="4:13" s="28" customFormat="1" ht="12.75">
      <c r="D150" s="156"/>
      <c r="E150" s="77"/>
      <c r="K150" s="105"/>
      <c r="L150" s="116"/>
      <c r="M150" s="115"/>
    </row>
    <row r="151" spans="4:13" s="28" customFormat="1" ht="12.75">
      <c r="D151" s="156"/>
      <c r="E151" s="77"/>
      <c r="K151" s="105"/>
      <c r="L151" s="116"/>
      <c r="M151" s="115"/>
    </row>
    <row r="152" spans="4:13" s="28" customFormat="1" ht="12.75">
      <c r="D152" s="156"/>
      <c r="E152" s="77"/>
      <c r="K152" s="105"/>
      <c r="L152" s="116"/>
      <c r="M152" s="115"/>
    </row>
    <row r="153" spans="4:13" s="28" customFormat="1" ht="12.75">
      <c r="D153" s="156"/>
      <c r="E153" s="77"/>
      <c r="K153" s="105"/>
      <c r="L153" s="116"/>
      <c r="M153" s="115"/>
    </row>
    <row r="154" spans="4:13" s="28" customFormat="1" ht="12.75">
      <c r="D154" s="156"/>
      <c r="E154" s="77"/>
      <c r="K154" s="105"/>
      <c r="L154" s="116"/>
      <c r="M154" s="115"/>
    </row>
    <row r="155" spans="4:13" s="28" customFormat="1" ht="12.75">
      <c r="D155" s="156"/>
      <c r="E155" s="77"/>
      <c r="K155" s="105"/>
      <c r="L155" s="116"/>
      <c r="M155" s="115"/>
    </row>
    <row r="156" spans="4:13" s="28" customFormat="1" ht="12.75">
      <c r="D156" s="156"/>
      <c r="E156" s="77"/>
      <c r="K156" s="105"/>
      <c r="L156" s="116"/>
      <c r="M156" s="115"/>
    </row>
    <row r="157" spans="4:13" s="28" customFormat="1" ht="12.75">
      <c r="D157" s="156"/>
      <c r="E157" s="77"/>
      <c r="K157" s="105"/>
      <c r="L157" s="116"/>
      <c r="M157" s="115"/>
    </row>
    <row r="158" spans="4:13" s="28" customFormat="1" ht="12.75">
      <c r="D158" s="156"/>
      <c r="E158" s="77"/>
      <c r="K158" s="105"/>
      <c r="L158" s="116"/>
      <c r="M158" s="115"/>
    </row>
    <row r="159" spans="4:13" s="28" customFormat="1" ht="12.75">
      <c r="D159" s="156"/>
      <c r="E159" s="77"/>
      <c r="K159" s="105"/>
      <c r="L159" s="116"/>
      <c r="M159" s="115"/>
    </row>
    <row r="160" spans="4:13" s="28" customFormat="1" ht="12.75">
      <c r="D160" s="156"/>
      <c r="E160" s="77"/>
      <c r="K160" s="105"/>
      <c r="L160" s="116"/>
      <c r="M160" s="115"/>
    </row>
    <row r="161" spans="4:13" s="28" customFormat="1" ht="12.75">
      <c r="D161" s="156"/>
      <c r="E161" s="77"/>
      <c r="K161" s="105"/>
      <c r="L161" s="116"/>
      <c r="M161" s="115"/>
    </row>
    <row r="162" spans="4:13" s="28" customFormat="1" ht="12.75">
      <c r="D162" s="156"/>
      <c r="E162" s="77"/>
      <c r="K162" s="105"/>
      <c r="L162" s="116"/>
      <c r="M162" s="115"/>
    </row>
    <row r="163" spans="4:13" s="28" customFormat="1" ht="12.75">
      <c r="D163" s="156"/>
      <c r="E163" s="77"/>
      <c r="K163" s="105"/>
      <c r="L163" s="116"/>
      <c r="M163" s="115"/>
    </row>
    <row r="164" spans="4:13" s="28" customFormat="1" ht="12.75">
      <c r="D164" s="156"/>
      <c r="E164" s="77"/>
      <c r="K164" s="105"/>
      <c r="L164" s="116"/>
      <c r="M164" s="115"/>
    </row>
    <row r="165" spans="4:13" s="28" customFormat="1" ht="12.75">
      <c r="D165" s="156"/>
      <c r="E165" s="77"/>
      <c r="K165" s="105"/>
      <c r="L165" s="116"/>
      <c r="M165" s="115"/>
    </row>
    <row r="166" spans="4:13" s="28" customFormat="1" ht="12.75">
      <c r="D166" s="156"/>
      <c r="E166" s="77"/>
      <c r="K166" s="105"/>
      <c r="L166" s="116"/>
      <c r="M166" s="115"/>
    </row>
    <row r="167" spans="4:13" s="28" customFormat="1" ht="12.75">
      <c r="D167" s="156"/>
      <c r="E167" s="77"/>
      <c r="K167" s="105"/>
      <c r="L167" s="116"/>
      <c r="M167" s="115"/>
    </row>
    <row r="168" spans="4:13" s="28" customFormat="1" ht="12.75">
      <c r="D168" s="156"/>
      <c r="E168" s="77"/>
      <c r="K168" s="105"/>
      <c r="L168" s="116"/>
      <c r="M168" s="115"/>
    </row>
    <row r="169" spans="4:13" s="28" customFormat="1" ht="12.75">
      <c r="D169" s="156"/>
      <c r="E169" s="77"/>
      <c r="K169" s="105"/>
      <c r="L169" s="116"/>
      <c r="M169" s="115"/>
    </row>
    <row r="170" spans="4:13" s="28" customFormat="1" ht="12.75">
      <c r="D170" s="156"/>
      <c r="E170" s="77"/>
      <c r="K170" s="105"/>
      <c r="L170" s="116"/>
      <c r="M170" s="115"/>
    </row>
    <row r="171" spans="4:13" s="28" customFormat="1" ht="12.75">
      <c r="D171" s="156"/>
      <c r="E171" s="77"/>
      <c r="K171" s="105"/>
      <c r="L171" s="116"/>
      <c r="M171" s="115"/>
    </row>
    <row r="172" spans="4:13" s="28" customFormat="1" ht="12.75">
      <c r="D172" s="156"/>
      <c r="E172" s="77"/>
      <c r="K172" s="105"/>
      <c r="L172" s="116"/>
      <c r="M172" s="115"/>
    </row>
    <row r="173" spans="4:13" s="28" customFormat="1" ht="12.75">
      <c r="D173" s="156"/>
      <c r="E173" s="77"/>
      <c r="K173" s="105"/>
      <c r="L173" s="116"/>
      <c r="M173" s="115"/>
    </row>
    <row r="174" spans="4:13" s="28" customFormat="1" ht="12.75">
      <c r="D174" s="156"/>
      <c r="E174" s="77"/>
      <c r="K174" s="105"/>
      <c r="L174" s="116"/>
      <c r="M174" s="115"/>
    </row>
    <row r="175" spans="4:13" s="28" customFormat="1" ht="12.75">
      <c r="D175" s="156"/>
      <c r="E175" s="77"/>
      <c r="K175" s="105"/>
      <c r="L175" s="116"/>
      <c r="M175" s="115"/>
    </row>
    <row r="176" spans="4:13" s="28" customFormat="1" ht="12.75">
      <c r="D176" s="156"/>
      <c r="E176" s="77"/>
      <c r="K176" s="105"/>
      <c r="L176" s="116"/>
      <c r="M176" s="115"/>
    </row>
    <row r="177" spans="4:13" s="28" customFormat="1" ht="12.75">
      <c r="D177" s="156"/>
      <c r="E177" s="77"/>
      <c r="K177" s="105"/>
      <c r="L177" s="116"/>
      <c r="M177" s="115"/>
    </row>
    <row r="178" spans="4:13" s="28" customFormat="1" ht="12.75">
      <c r="D178" s="156"/>
      <c r="E178" s="77"/>
      <c r="K178" s="105"/>
      <c r="L178" s="116"/>
      <c r="M178" s="115"/>
    </row>
    <row r="179" spans="4:13" s="28" customFormat="1" ht="12.75">
      <c r="D179" s="156"/>
      <c r="E179" s="77"/>
      <c r="K179" s="105"/>
      <c r="L179" s="116"/>
      <c r="M179" s="115"/>
    </row>
    <row r="180" spans="4:13" s="28" customFormat="1" ht="12.75">
      <c r="D180" s="156"/>
      <c r="E180" s="77"/>
      <c r="K180" s="105"/>
      <c r="L180" s="116"/>
      <c r="M180" s="115"/>
    </row>
    <row r="181" spans="4:13" s="28" customFormat="1" ht="12.75">
      <c r="D181" s="156"/>
      <c r="E181" s="77"/>
      <c r="K181" s="105"/>
      <c r="L181" s="116"/>
      <c r="M181" s="115"/>
    </row>
    <row r="182" spans="4:13" s="28" customFormat="1" ht="12.75">
      <c r="D182" s="156"/>
      <c r="E182" s="77"/>
      <c r="K182" s="105"/>
      <c r="L182" s="116"/>
      <c r="M182" s="115"/>
    </row>
    <row r="183" spans="4:13" s="28" customFormat="1" ht="12.75">
      <c r="D183" s="156"/>
      <c r="E183" s="77"/>
      <c r="K183" s="105"/>
      <c r="L183" s="116"/>
      <c r="M183" s="115"/>
    </row>
    <row r="184" spans="4:13" s="28" customFormat="1" ht="12.75">
      <c r="D184" s="156"/>
      <c r="E184" s="77"/>
      <c r="K184" s="105"/>
      <c r="L184" s="116"/>
      <c r="M184" s="115"/>
    </row>
    <row r="185" spans="4:13" s="28" customFormat="1" ht="12.75">
      <c r="D185" s="156"/>
      <c r="E185" s="77"/>
      <c r="K185" s="105"/>
      <c r="L185" s="116"/>
      <c r="M185" s="115"/>
    </row>
    <row r="186" spans="4:13" s="28" customFormat="1" ht="12.75">
      <c r="D186" s="156"/>
      <c r="E186" s="77"/>
      <c r="K186" s="105"/>
      <c r="L186" s="116"/>
      <c r="M186" s="115"/>
    </row>
    <row r="187" spans="4:13" s="28" customFormat="1" ht="12.75">
      <c r="D187" s="156"/>
      <c r="E187" s="77"/>
      <c r="K187" s="105"/>
      <c r="L187" s="116"/>
      <c r="M187" s="115"/>
    </row>
    <row r="188" spans="4:13" s="28" customFormat="1" ht="12.75">
      <c r="D188" s="156"/>
      <c r="E188" s="77"/>
      <c r="K188" s="105"/>
      <c r="L188" s="116"/>
      <c r="M188" s="115"/>
    </row>
    <row r="189" spans="4:13" s="28" customFormat="1" ht="12.75">
      <c r="D189" s="156"/>
      <c r="E189" s="77"/>
      <c r="K189" s="105"/>
      <c r="L189" s="116"/>
      <c r="M189" s="115"/>
    </row>
    <row r="190" spans="4:13" s="28" customFormat="1" ht="12.75">
      <c r="D190" s="156"/>
      <c r="E190" s="77"/>
      <c r="K190" s="105"/>
      <c r="L190" s="116"/>
      <c r="M190" s="115"/>
    </row>
    <row r="191" spans="4:13" s="28" customFormat="1" ht="12.75">
      <c r="D191" s="156"/>
      <c r="E191" s="77"/>
      <c r="K191" s="105"/>
      <c r="L191" s="116"/>
      <c r="M191" s="115"/>
    </row>
    <row r="192" spans="4:13" s="28" customFormat="1" ht="12.75">
      <c r="D192" s="156"/>
      <c r="E192" s="77"/>
      <c r="K192" s="105"/>
      <c r="L192" s="116"/>
      <c r="M192" s="115"/>
    </row>
    <row r="193" spans="4:13" s="28" customFormat="1" ht="12.75">
      <c r="D193" s="156"/>
      <c r="E193" s="77"/>
      <c r="K193" s="105"/>
      <c r="L193" s="116"/>
      <c r="M193" s="115"/>
    </row>
    <row r="194" spans="4:13" s="28" customFormat="1" ht="12.75">
      <c r="D194" s="156"/>
      <c r="E194" s="77"/>
      <c r="K194" s="105"/>
      <c r="L194" s="116"/>
      <c r="M194" s="115"/>
    </row>
    <row r="195" spans="4:13" s="28" customFormat="1" ht="12.75">
      <c r="D195" s="156"/>
      <c r="E195" s="77"/>
      <c r="K195" s="105"/>
      <c r="L195" s="116"/>
      <c r="M195" s="115"/>
    </row>
    <row r="196" spans="4:13" s="28" customFormat="1" ht="12.75">
      <c r="D196" s="156"/>
      <c r="E196" s="77"/>
      <c r="K196" s="105"/>
      <c r="L196" s="116"/>
      <c r="M196" s="115"/>
    </row>
    <row r="197" spans="4:13" s="28" customFormat="1" ht="12.75">
      <c r="D197" s="156"/>
      <c r="E197" s="77"/>
      <c r="K197" s="105"/>
      <c r="L197" s="116"/>
      <c r="M197" s="115"/>
    </row>
    <row r="198" spans="4:13" s="28" customFormat="1" ht="12.75">
      <c r="D198" s="156"/>
      <c r="E198" s="77"/>
      <c r="K198" s="105"/>
      <c r="L198" s="116"/>
      <c r="M198" s="115"/>
    </row>
    <row r="199" spans="4:13" s="28" customFormat="1" ht="12.75">
      <c r="D199" s="156"/>
      <c r="E199" s="77"/>
      <c r="K199" s="105"/>
      <c r="L199" s="116"/>
      <c r="M199" s="115"/>
    </row>
    <row r="200" spans="4:13" s="28" customFormat="1" ht="12.75">
      <c r="D200" s="156"/>
      <c r="E200" s="77"/>
      <c r="K200" s="105"/>
      <c r="L200" s="116"/>
      <c r="M200" s="115"/>
    </row>
    <row r="201" spans="4:13" s="28" customFormat="1" ht="12.75">
      <c r="D201" s="156"/>
      <c r="E201" s="77"/>
      <c r="K201" s="105"/>
      <c r="L201" s="116"/>
      <c r="M201" s="115"/>
    </row>
    <row r="202" spans="4:13" s="28" customFormat="1" ht="12.75">
      <c r="D202" s="156"/>
      <c r="E202" s="77"/>
      <c r="K202" s="105"/>
      <c r="L202" s="116"/>
      <c r="M202" s="115"/>
    </row>
    <row r="203" spans="4:13" s="28" customFormat="1" ht="12.75">
      <c r="D203" s="156"/>
      <c r="E203" s="77"/>
      <c r="K203" s="105"/>
      <c r="L203" s="116"/>
      <c r="M203" s="115"/>
    </row>
    <row r="204" spans="4:13" s="28" customFormat="1" ht="12.75">
      <c r="D204" s="156"/>
      <c r="E204" s="77"/>
      <c r="K204" s="105"/>
      <c r="L204" s="116"/>
      <c r="M204" s="115"/>
    </row>
    <row r="205" spans="4:13" s="28" customFormat="1" ht="12.75">
      <c r="D205" s="156"/>
      <c r="E205" s="77"/>
      <c r="K205" s="105"/>
      <c r="L205" s="116"/>
      <c r="M205" s="115"/>
    </row>
    <row r="206" spans="4:13" s="28" customFormat="1" ht="12.75">
      <c r="D206" s="156"/>
      <c r="E206" s="77"/>
      <c r="K206" s="105"/>
      <c r="L206" s="116"/>
      <c r="M206" s="115"/>
    </row>
    <row r="207" spans="4:13" s="28" customFormat="1" ht="12.75">
      <c r="D207" s="156"/>
      <c r="E207" s="77"/>
      <c r="K207" s="105"/>
      <c r="L207" s="116"/>
      <c r="M207" s="115"/>
    </row>
    <row r="208" spans="4:13" s="28" customFormat="1" ht="12.75">
      <c r="D208" s="156"/>
      <c r="E208" s="77"/>
      <c r="K208" s="105"/>
      <c r="L208" s="116"/>
      <c r="M208" s="115"/>
    </row>
    <row r="209" spans="4:13" s="28" customFormat="1" ht="12.75">
      <c r="D209" s="156"/>
      <c r="E209" s="77"/>
      <c r="K209" s="105"/>
      <c r="L209" s="116"/>
      <c r="M209" s="1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206"/>
  <sheetViews>
    <sheetView zoomScalePageLayoutView="0" workbookViewId="0" topLeftCell="A1">
      <pane ySplit="4" topLeftCell="A74" activePane="bottomLeft" state="frozen"/>
      <selection pane="topLeft" activeCell="A1" sqref="A1"/>
      <selection pane="bottomLeft" activeCell="K78" sqref="K78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3.7109375" style="0" customWidth="1"/>
    <col min="4" max="4" width="5.421875" style="154" customWidth="1"/>
    <col min="5" max="5" width="10.00390625" style="236" customWidth="1"/>
    <col min="6" max="11" width="12.57421875" style="0" customWidth="1"/>
    <col min="12" max="12" width="8.8515625" style="98" customWidth="1"/>
    <col min="13" max="13" width="13.7109375" style="110" customWidth="1"/>
    <col min="14" max="14" width="8.421875" style="158" customWidth="1"/>
  </cols>
  <sheetData>
    <row r="2" spans="1:2" ht="15">
      <c r="A2" s="192" t="s">
        <v>305</v>
      </c>
      <c r="B2" s="192"/>
    </row>
    <row r="3" ht="11.25" customHeight="1" thickBot="1">
      <c r="E3" s="248"/>
    </row>
    <row r="4" spans="1:14" s="188" customFormat="1" ht="37.5" customHeight="1" thickBot="1">
      <c r="A4" s="176" t="s">
        <v>292</v>
      </c>
      <c r="B4" s="177" t="s">
        <v>17</v>
      </c>
      <c r="C4" s="177" t="s">
        <v>254</v>
      </c>
      <c r="D4" s="270" t="s">
        <v>290</v>
      </c>
      <c r="E4" s="247" t="s">
        <v>392</v>
      </c>
      <c r="F4" s="179" t="s">
        <v>293</v>
      </c>
      <c r="G4" s="186" t="s">
        <v>294</v>
      </c>
      <c r="H4" s="181" t="s">
        <v>261</v>
      </c>
      <c r="I4" s="181" t="s">
        <v>262</v>
      </c>
      <c r="J4" s="181" t="s">
        <v>263</v>
      </c>
      <c r="K4" s="182" t="s">
        <v>264</v>
      </c>
      <c r="L4" s="183" t="s">
        <v>270</v>
      </c>
      <c r="M4" s="177" t="s">
        <v>280</v>
      </c>
      <c r="N4" s="184"/>
    </row>
    <row r="5" spans="1:14" s="28" customFormat="1" ht="13.5" thickBot="1">
      <c r="A5" s="90" t="s">
        <v>1</v>
      </c>
      <c r="B5" s="190" t="s">
        <v>29</v>
      </c>
      <c r="C5" s="166" t="s">
        <v>31</v>
      </c>
      <c r="D5" s="239">
        <v>1.649</v>
      </c>
      <c r="E5" s="242">
        <f>D5*5108.84/174</f>
        <v>48.416535402298855</v>
      </c>
      <c r="F5" s="151">
        <v>250.8</v>
      </c>
      <c r="G5" s="32"/>
      <c r="H5" s="32"/>
      <c r="I5" s="32">
        <f>E5*80*10%</f>
        <v>387.33228321839084</v>
      </c>
      <c r="J5" s="32"/>
      <c r="K5" s="33">
        <v>250</v>
      </c>
      <c r="L5" s="99" t="s">
        <v>271</v>
      </c>
      <c r="M5" s="145">
        <v>3204010046</v>
      </c>
      <c r="N5" s="115"/>
    </row>
    <row r="6" spans="1:14" s="28" customFormat="1" ht="13.5" thickBot="1">
      <c r="A6" s="90" t="s">
        <v>2</v>
      </c>
      <c r="B6" s="191" t="s">
        <v>33</v>
      </c>
      <c r="C6" s="167" t="s">
        <v>32</v>
      </c>
      <c r="D6" s="240">
        <v>1.585</v>
      </c>
      <c r="E6" s="242">
        <f aca="true" t="shared" si="0" ref="E6:E43">D6*5108.84/174</f>
        <v>46.53742183908046</v>
      </c>
      <c r="F6" s="152">
        <v>159.62</v>
      </c>
      <c r="G6" s="37"/>
      <c r="H6" s="37"/>
      <c r="I6" s="32">
        <f aca="true" t="shared" si="1" ref="I6:I42">E6*80*10%</f>
        <v>372.29937471264367</v>
      </c>
      <c r="J6" s="37"/>
      <c r="K6" s="38">
        <v>250</v>
      </c>
      <c r="L6" s="100" t="s">
        <v>271</v>
      </c>
      <c r="M6" s="146">
        <v>3204009691</v>
      </c>
      <c r="N6" s="115"/>
    </row>
    <row r="7" spans="1:14" s="28" customFormat="1" ht="13.5" thickBot="1">
      <c r="A7" s="90" t="s">
        <v>3</v>
      </c>
      <c r="B7" s="191" t="s">
        <v>34</v>
      </c>
      <c r="C7" s="167" t="s">
        <v>35</v>
      </c>
      <c r="D7" s="240">
        <v>1.565</v>
      </c>
      <c r="E7" s="242">
        <f t="shared" si="0"/>
        <v>45.950198850574715</v>
      </c>
      <c r="F7" s="152"/>
      <c r="G7" s="37"/>
      <c r="H7" s="37"/>
      <c r="I7" s="32">
        <f t="shared" si="1"/>
        <v>367.6015908045977</v>
      </c>
      <c r="J7" s="37"/>
      <c r="K7" s="38">
        <v>807</v>
      </c>
      <c r="L7" s="101" t="s">
        <v>272</v>
      </c>
      <c r="M7" s="146">
        <v>3220485615</v>
      </c>
      <c r="N7" s="115"/>
    </row>
    <row r="8" spans="1:14" s="28" customFormat="1" ht="13.5" thickBot="1">
      <c r="A8" s="90" t="s">
        <v>4</v>
      </c>
      <c r="B8" s="191" t="s">
        <v>36</v>
      </c>
      <c r="C8" s="167" t="s">
        <v>37</v>
      </c>
      <c r="D8" s="240">
        <v>1.656</v>
      </c>
      <c r="E8" s="242">
        <f t="shared" si="0"/>
        <v>48.62206344827587</v>
      </c>
      <c r="F8" s="152">
        <v>258.67</v>
      </c>
      <c r="G8" s="37"/>
      <c r="H8" s="37"/>
      <c r="I8" s="32">
        <f t="shared" si="1"/>
        <v>388.97650758620694</v>
      </c>
      <c r="J8" s="37"/>
      <c r="K8" s="38">
        <v>250</v>
      </c>
      <c r="L8" s="100" t="s">
        <v>271</v>
      </c>
      <c r="M8" s="146">
        <v>3204010214</v>
      </c>
      <c r="N8" s="115"/>
    </row>
    <row r="9" spans="1:14" s="28" customFormat="1" ht="13.5" thickBot="1">
      <c r="A9" s="90" t="s">
        <v>5</v>
      </c>
      <c r="B9" s="191" t="s">
        <v>38</v>
      </c>
      <c r="C9" s="167" t="s">
        <v>39</v>
      </c>
      <c r="D9" s="240">
        <v>1.635</v>
      </c>
      <c r="E9" s="242">
        <f t="shared" si="0"/>
        <v>48.00547931034483</v>
      </c>
      <c r="F9" s="152"/>
      <c r="G9" s="37"/>
      <c r="H9" s="37"/>
      <c r="I9" s="32">
        <f t="shared" si="1"/>
        <v>384.0438344827587</v>
      </c>
      <c r="J9" s="37"/>
      <c r="K9" s="38"/>
      <c r="L9" s="100" t="s">
        <v>271</v>
      </c>
      <c r="M9" s="146">
        <v>3204010327</v>
      </c>
      <c r="N9" s="115"/>
    </row>
    <row r="10" spans="1:14" s="28" customFormat="1" ht="13.5" thickBot="1">
      <c r="A10" s="90" t="s">
        <v>6</v>
      </c>
      <c r="B10" s="191" t="s">
        <v>40</v>
      </c>
      <c r="C10" s="167" t="s">
        <v>41</v>
      </c>
      <c r="D10" s="240">
        <v>1.425</v>
      </c>
      <c r="E10" s="242">
        <f t="shared" si="0"/>
        <v>41.83963793103449</v>
      </c>
      <c r="F10" s="152"/>
      <c r="G10" s="37"/>
      <c r="H10" s="37"/>
      <c r="I10" s="32"/>
      <c r="J10" s="37">
        <f>D10*5108.84*10%</f>
        <v>728.0097000000001</v>
      </c>
      <c r="K10" s="38"/>
      <c r="L10" s="100" t="s">
        <v>271</v>
      </c>
      <c r="M10" s="146">
        <v>3204017738</v>
      </c>
      <c r="N10" s="115"/>
    </row>
    <row r="11" spans="1:14" s="28" customFormat="1" ht="13.5" thickBot="1">
      <c r="A11" s="90" t="s">
        <v>7</v>
      </c>
      <c r="B11" s="191" t="s">
        <v>42</v>
      </c>
      <c r="C11" s="167" t="s">
        <v>43</v>
      </c>
      <c r="D11" s="240">
        <v>1.677</v>
      </c>
      <c r="E11" s="242">
        <f t="shared" si="0"/>
        <v>49.2386475862069</v>
      </c>
      <c r="F11" s="152">
        <v>261.95</v>
      </c>
      <c r="G11" s="37"/>
      <c r="H11" s="37"/>
      <c r="I11" s="32">
        <f t="shared" si="1"/>
        <v>393.9091806896552</v>
      </c>
      <c r="J11" s="37"/>
      <c r="K11" s="38"/>
      <c r="L11" s="102" t="s">
        <v>271</v>
      </c>
      <c r="M11" s="146">
        <v>3204010476</v>
      </c>
      <c r="N11" s="115"/>
    </row>
    <row r="12" spans="1:14" s="28" customFormat="1" ht="13.5" thickBot="1">
      <c r="A12" s="90" t="s">
        <v>8</v>
      </c>
      <c r="B12" s="191" t="s">
        <v>44</v>
      </c>
      <c r="C12" s="167" t="s">
        <v>45</v>
      </c>
      <c r="D12" s="240">
        <v>1.464</v>
      </c>
      <c r="E12" s="242">
        <f t="shared" si="0"/>
        <v>42.98472275862069</v>
      </c>
      <c r="F12" s="152">
        <v>225.67</v>
      </c>
      <c r="G12" s="37">
        <f>E12*12</f>
        <v>515.8166731034482</v>
      </c>
      <c r="H12" s="37"/>
      <c r="I12" s="32">
        <f t="shared" si="1"/>
        <v>343.8777820689656</v>
      </c>
      <c r="J12" s="37"/>
      <c r="K12" s="38">
        <v>250</v>
      </c>
      <c r="L12" s="102" t="s">
        <v>271</v>
      </c>
      <c r="M12" s="146">
        <v>3204010484</v>
      </c>
      <c r="N12" s="115"/>
    </row>
    <row r="13" spans="1:14" s="28" customFormat="1" ht="13.5" thickBot="1">
      <c r="A13" s="90" t="s">
        <v>9</v>
      </c>
      <c r="B13" s="191" t="s">
        <v>47</v>
      </c>
      <c r="C13" s="167" t="s">
        <v>48</v>
      </c>
      <c r="D13" s="240">
        <v>1.425</v>
      </c>
      <c r="E13" s="242">
        <f t="shared" si="0"/>
        <v>41.83963793103449</v>
      </c>
      <c r="F13" s="152">
        <v>439.32</v>
      </c>
      <c r="G13" s="37"/>
      <c r="H13" s="37"/>
      <c r="I13" s="32">
        <f t="shared" si="1"/>
        <v>334.7171034482759</v>
      </c>
      <c r="J13" s="37"/>
      <c r="K13" s="38"/>
      <c r="L13" s="102" t="s">
        <v>271</v>
      </c>
      <c r="M13" s="146">
        <v>3204016384</v>
      </c>
      <c r="N13" s="115"/>
    </row>
    <row r="14" spans="1:14" s="28" customFormat="1" ht="13.5" thickBot="1">
      <c r="A14" s="90" t="s">
        <v>30</v>
      </c>
      <c r="B14" s="225" t="s">
        <v>248</v>
      </c>
      <c r="C14" s="252" t="s">
        <v>249</v>
      </c>
      <c r="D14" s="250">
        <v>1.324</v>
      </c>
      <c r="E14" s="244">
        <f>D14*5108.84/174</f>
        <v>38.874161839080465</v>
      </c>
      <c r="F14" s="222">
        <v>198.65</v>
      </c>
      <c r="G14" s="43"/>
      <c r="H14" s="43"/>
      <c r="I14" s="37">
        <f>E14*80*10%</f>
        <v>310.9932947126438</v>
      </c>
      <c r="J14" s="43"/>
      <c r="K14" s="44">
        <v>600</v>
      </c>
      <c r="L14" s="254" t="s">
        <v>275</v>
      </c>
      <c r="M14" s="253">
        <v>3223040861</v>
      </c>
      <c r="N14" s="115"/>
    </row>
    <row r="15" spans="1:14" s="203" customFormat="1" ht="13.5" thickBot="1">
      <c r="A15" s="90" t="s">
        <v>10</v>
      </c>
      <c r="B15" s="194" t="s">
        <v>49</v>
      </c>
      <c r="C15" s="195" t="s">
        <v>50</v>
      </c>
      <c r="D15" s="241">
        <v>1.408</v>
      </c>
      <c r="E15" s="242">
        <f t="shared" si="0"/>
        <v>41.3404983908046</v>
      </c>
      <c r="F15" s="197"/>
      <c r="G15" s="198"/>
      <c r="H15" s="198"/>
      <c r="I15" s="32">
        <f t="shared" si="1"/>
        <v>330.72398712643684</v>
      </c>
      <c r="J15" s="198"/>
      <c r="K15" s="199">
        <v>650</v>
      </c>
      <c r="L15" s="200" t="s">
        <v>271</v>
      </c>
      <c r="M15" s="201">
        <v>3203991914</v>
      </c>
      <c r="N15" s="202"/>
    </row>
    <row r="16" spans="1:14" s="28" customFormat="1" ht="13.5" thickBot="1">
      <c r="A16" s="90" t="s">
        <v>11</v>
      </c>
      <c r="B16" s="191" t="s">
        <v>251</v>
      </c>
      <c r="C16" s="167" t="s">
        <v>53</v>
      </c>
      <c r="D16" s="240">
        <v>1.324</v>
      </c>
      <c r="E16" s="242">
        <f t="shared" si="0"/>
        <v>38.874161839080465</v>
      </c>
      <c r="F16" s="152"/>
      <c r="G16" s="37"/>
      <c r="H16" s="37"/>
      <c r="I16" s="32">
        <f t="shared" si="1"/>
        <v>310.9932947126438</v>
      </c>
      <c r="J16" s="37"/>
      <c r="K16" s="38">
        <v>650</v>
      </c>
      <c r="L16" s="102" t="s">
        <v>274</v>
      </c>
      <c r="M16" s="146">
        <v>3201084947</v>
      </c>
      <c r="N16" s="115"/>
    </row>
    <row r="17" spans="1:14" s="28" customFormat="1" ht="13.5" thickBot="1">
      <c r="A17" s="90" t="s">
        <v>12</v>
      </c>
      <c r="B17" s="191" t="s">
        <v>54</v>
      </c>
      <c r="C17" s="167" t="s">
        <v>55</v>
      </c>
      <c r="D17" s="240">
        <v>1.37</v>
      </c>
      <c r="E17" s="242">
        <f t="shared" si="0"/>
        <v>40.22477471264368</v>
      </c>
      <c r="F17" s="152">
        <v>205.55</v>
      </c>
      <c r="G17" s="37"/>
      <c r="H17" s="37"/>
      <c r="I17" s="32">
        <f t="shared" si="1"/>
        <v>321.7981977011495</v>
      </c>
      <c r="J17" s="37"/>
      <c r="K17" s="38">
        <v>600</v>
      </c>
      <c r="L17" s="102" t="s">
        <v>271</v>
      </c>
      <c r="M17" s="146">
        <v>3207503041</v>
      </c>
      <c r="N17" s="115"/>
    </row>
    <row r="18" spans="1:14" s="28" customFormat="1" ht="13.5" thickBot="1">
      <c r="A18" s="90" t="s">
        <v>13</v>
      </c>
      <c r="B18" s="191" t="s">
        <v>56</v>
      </c>
      <c r="C18" s="167" t="s">
        <v>57</v>
      </c>
      <c r="D18" s="240">
        <v>1.656</v>
      </c>
      <c r="E18" s="242">
        <f t="shared" si="0"/>
        <v>48.62206344827587</v>
      </c>
      <c r="F18" s="152"/>
      <c r="G18" s="37"/>
      <c r="H18" s="37"/>
      <c r="I18" s="32"/>
      <c r="J18" s="37">
        <f>D18*5108.84*10%</f>
        <v>846.0239040000001</v>
      </c>
      <c r="K18" s="38"/>
      <c r="L18" s="102" t="s">
        <v>271</v>
      </c>
      <c r="M18" s="146">
        <v>3204074301</v>
      </c>
      <c r="N18" s="115"/>
    </row>
    <row r="19" spans="1:14" s="28" customFormat="1" ht="13.5" thickBot="1">
      <c r="A19" s="90" t="s">
        <v>14</v>
      </c>
      <c r="B19" s="153" t="s">
        <v>246</v>
      </c>
      <c r="C19" s="167" t="s">
        <v>247</v>
      </c>
      <c r="D19" s="240">
        <v>1.348</v>
      </c>
      <c r="E19" s="244">
        <f>D19*5108.84/174</f>
        <v>39.57882942528736</v>
      </c>
      <c r="F19" s="152"/>
      <c r="G19" s="37"/>
      <c r="H19" s="37"/>
      <c r="I19" s="37">
        <f>E19*80*10%</f>
        <v>316.6306354022989</v>
      </c>
      <c r="J19" s="37"/>
      <c r="K19" s="38">
        <v>600</v>
      </c>
      <c r="L19" s="102" t="s">
        <v>275</v>
      </c>
      <c r="M19" s="147">
        <v>3221235503</v>
      </c>
      <c r="N19" s="115"/>
    </row>
    <row r="20" spans="1:14" s="28" customFormat="1" ht="13.5" thickBot="1">
      <c r="A20" s="90" t="s">
        <v>15</v>
      </c>
      <c r="B20" s="191" t="s">
        <v>102</v>
      </c>
      <c r="C20" s="167" t="s">
        <v>103</v>
      </c>
      <c r="D20" s="240">
        <v>1.342</v>
      </c>
      <c r="E20" s="242">
        <f t="shared" si="0"/>
        <v>39.40266252873563</v>
      </c>
      <c r="F20" s="152">
        <v>274.38</v>
      </c>
      <c r="G20" s="37"/>
      <c r="H20" s="37"/>
      <c r="I20" s="32">
        <f t="shared" si="1"/>
        <v>315.22130022988506</v>
      </c>
      <c r="J20" s="37"/>
      <c r="K20" s="38">
        <v>250</v>
      </c>
      <c r="L20" s="102" t="s">
        <v>275</v>
      </c>
      <c r="M20" s="146">
        <v>3223516627</v>
      </c>
      <c r="N20" s="115"/>
    </row>
    <row r="21" spans="1:14" s="28" customFormat="1" ht="13.5" thickBot="1">
      <c r="A21" s="90" t="s">
        <v>16</v>
      </c>
      <c r="B21" s="163" t="s">
        <v>244</v>
      </c>
      <c r="C21" s="162" t="s">
        <v>245</v>
      </c>
      <c r="D21" s="240">
        <v>1.335</v>
      </c>
      <c r="E21" s="244">
        <f>D21*5108.84/174</f>
        <v>39.19713448275862</v>
      </c>
      <c r="F21" s="152"/>
      <c r="G21" s="37"/>
      <c r="H21" s="37"/>
      <c r="I21" s="37">
        <f>E21*80*10%</f>
        <v>313.577075862069</v>
      </c>
      <c r="J21" s="37">
        <v>233.19</v>
      </c>
      <c r="K21" s="38">
        <v>830</v>
      </c>
      <c r="L21" s="102" t="s">
        <v>271</v>
      </c>
      <c r="M21" s="146">
        <v>3204141898</v>
      </c>
      <c r="N21" s="115"/>
    </row>
    <row r="22" spans="1:14" s="28" customFormat="1" ht="13.5" thickBot="1">
      <c r="A22" s="90" t="s">
        <v>58</v>
      </c>
      <c r="B22" s="191" t="s">
        <v>252</v>
      </c>
      <c r="C22" s="167" t="s">
        <v>62</v>
      </c>
      <c r="D22" s="240">
        <v>1.322</v>
      </c>
      <c r="E22" s="242">
        <f t="shared" si="0"/>
        <v>38.81543954022989</v>
      </c>
      <c r="F22" s="152"/>
      <c r="G22" s="37"/>
      <c r="H22" s="37"/>
      <c r="I22" s="32"/>
      <c r="J22" s="37">
        <f>D22*5108.84*15%</f>
        <v>1013.0829719999999</v>
      </c>
      <c r="K22" s="38">
        <v>810</v>
      </c>
      <c r="L22" s="102" t="s">
        <v>271</v>
      </c>
      <c r="M22" s="146">
        <v>3209826266</v>
      </c>
      <c r="N22" s="115"/>
    </row>
    <row r="23" spans="1:14" s="28" customFormat="1" ht="13.5" thickBot="1">
      <c r="A23" s="90" t="s">
        <v>61</v>
      </c>
      <c r="B23" s="191" t="s">
        <v>64</v>
      </c>
      <c r="C23" s="167" t="s">
        <v>65</v>
      </c>
      <c r="D23" s="240">
        <v>1.316</v>
      </c>
      <c r="E23" s="242">
        <f t="shared" si="0"/>
        <v>38.63927264367817</v>
      </c>
      <c r="F23" s="152"/>
      <c r="G23" s="37"/>
      <c r="H23" s="37"/>
      <c r="I23" s="32">
        <f t="shared" si="1"/>
        <v>309.11418114942535</v>
      </c>
      <c r="J23" s="37"/>
      <c r="K23" s="38">
        <v>600</v>
      </c>
      <c r="L23" s="102" t="s">
        <v>271</v>
      </c>
      <c r="M23" s="146">
        <v>3206487143</v>
      </c>
      <c r="N23" s="115"/>
    </row>
    <row r="24" spans="1:14" s="28" customFormat="1" ht="13.5" thickBot="1">
      <c r="A24" s="90" t="s">
        <v>63</v>
      </c>
      <c r="B24" s="191" t="s">
        <v>67</v>
      </c>
      <c r="C24" s="167" t="s">
        <v>68</v>
      </c>
      <c r="D24" s="240">
        <v>1.316</v>
      </c>
      <c r="E24" s="242">
        <f t="shared" si="0"/>
        <v>38.63927264367817</v>
      </c>
      <c r="F24" s="152"/>
      <c r="G24" s="37"/>
      <c r="H24" s="37">
        <v>480.23</v>
      </c>
      <c r="I24" s="32">
        <f t="shared" si="1"/>
        <v>309.11418114942535</v>
      </c>
      <c r="J24" s="37">
        <f>D24*5108.84*10%</f>
        <v>672.3233440000001</v>
      </c>
      <c r="K24" s="38">
        <v>830</v>
      </c>
      <c r="L24" s="102" t="s">
        <v>276</v>
      </c>
      <c r="M24" s="146">
        <v>3251666018</v>
      </c>
      <c r="N24" s="115"/>
    </row>
    <row r="25" spans="1:14" s="28" customFormat="1" ht="13.5" thickBot="1">
      <c r="A25" s="90" t="s">
        <v>66</v>
      </c>
      <c r="B25" s="153" t="s">
        <v>213</v>
      </c>
      <c r="C25" s="162" t="s">
        <v>214</v>
      </c>
      <c r="D25" s="240">
        <v>1.329</v>
      </c>
      <c r="E25" s="244">
        <f>D25*5108.84/174</f>
        <v>39.0209675862069</v>
      </c>
      <c r="F25" s="152"/>
      <c r="G25" s="37"/>
      <c r="H25" s="37"/>
      <c r="I25" s="37">
        <f>E25*80*10%</f>
        <v>312.1677406896552</v>
      </c>
      <c r="J25" s="37">
        <f>D25*5108.84*10%</f>
        <v>678.9648360000001</v>
      </c>
      <c r="K25" s="37"/>
      <c r="L25" s="100" t="s">
        <v>271</v>
      </c>
      <c r="M25" s="146">
        <v>3207325476</v>
      </c>
      <c r="N25" s="115"/>
    </row>
    <row r="26" spans="1:14" s="28" customFormat="1" ht="13.5" thickBot="1">
      <c r="A26" s="90" t="s">
        <v>69</v>
      </c>
      <c r="B26" s="191" t="s">
        <v>70</v>
      </c>
      <c r="C26" s="167" t="s">
        <v>71</v>
      </c>
      <c r="D26" s="240">
        <v>1.322</v>
      </c>
      <c r="E26" s="242">
        <f t="shared" si="0"/>
        <v>38.81543954022989</v>
      </c>
      <c r="F26" s="152"/>
      <c r="G26" s="37"/>
      <c r="H26" s="37"/>
      <c r="I26" s="32">
        <f t="shared" si="1"/>
        <v>310.5235163218391</v>
      </c>
      <c r="J26" s="37"/>
      <c r="K26" s="38">
        <v>650</v>
      </c>
      <c r="L26" s="102" t="s">
        <v>271</v>
      </c>
      <c r="M26" s="146">
        <v>3209339880</v>
      </c>
      <c r="N26" s="115"/>
    </row>
    <row r="27" spans="1:14" s="28" customFormat="1" ht="13.5" thickBot="1">
      <c r="A27" s="90" t="s">
        <v>72</v>
      </c>
      <c r="B27" s="191" t="s">
        <v>73</v>
      </c>
      <c r="C27" s="167" t="s">
        <v>74</v>
      </c>
      <c r="D27" s="240">
        <v>1.656</v>
      </c>
      <c r="E27" s="242">
        <f t="shared" si="0"/>
        <v>48.62206344827587</v>
      </c>
      <c r="F27" s="152">
        <v>340.35</v>
      </c>
      <c r="G27" s="37"/>
      <c r="H27" s="37"/>
      <c r="I27" s="32">
        <f t="shared" si="1"/>
        <v>388.97650758620694</v>
      </c>
      <c r="J27" s="37"/>
      <c r="K27" s="38">
        <v>768</v>
      </c>
      <c r="L27" s="102" t="s">
        <v>271</v>
      </c>
      <c r="M27" s="146">
        <v>3204051514</v>
      </c>
      <c r="N27" s="115"/>
    </row>
    <row r="28" spans="1:14" s="28" customFormat="1" ht="13.5" thickBot="1">
      <c r="A28" s="90" t="s">
        <v>75</v>
      </c>
      <c r="B28" s="191" t="s">
        <v>239</v>
      </c>
      <c r="C28" s="167" t="s">
        <v>76</v>
      </c>
      <c r="D28" s="240">
        <v>1.582</v>
      </c>
      <c r="E28" s="242">
        <f t="shared" si="0"/>
        <v>46.4493383908046</v>
      </c>
      <c r="F28" s="152">
        <v>637.28</v>
      </c>
      <c r="G28" s="37"/>
      <c r="H28" s="37"/>
      <c r="I28" s="32">
        <f t="shared" si="1"/>
        <v>371.5947071264368</v>
      </c>
      <c r="J28" s="37"/>
      <c r="K28" s="38">
        <v>250</v>
      </c>
      <c r="L28" s="102" t="s">
        <v>271</v>
      </c>
      <c r="M28" s="146">
        <v>3204010298</v>
      </c>
      <c r="N28" s="115"/>
    </row>
    <row r="29" spans="1:14" s="28" customFormat="1" ht="13.5" thickBot="1">
      <c r="A29" s="90" t="s">
        <v>77</v>
      </c>
      <c r="B29" s="191" t="s">
        <v>78</v>
      </c>
      <c r="C29" s="167" t="s">
        <v>79</v>
      </c>
      <c r="D29" s="240">
        <v>1.696</v>
      </c>
      <c r="E29" s="242">
        <f t="shared" si="0"/>
        <v>49.79650942528736</v>
      </c>
      <c r="F29" s="152">
        <v>390.4</v>
      </c>
      <c r="G29" s="37"/>
      <c r="H29" s="37">
        <v>70.56</v>
      </c>
      <c r="I29" s="32">
        <f t="shared" si="1"/>
        <v>398.3720754022989</v>
      </c>
      <c r="J29" s="37"/>
      <c r="K29" s="38"/>
      <c r="L29" s="102" t="s">
        <v>271</v>
      </c>
      <c r="M29" s="146">
        <v>3214138674</v>
      </c>
      <c r="N29" s="115"/>
    </row>
    <row r="30" spans="1:14" s="28" customFormat="1" ht="13.5" thickBot="1">
      <c r="A30" s="90" t="s">
        <v>80</v>
      </c>
      <c r="B30" s="191" t="s">
        <v>84</v>
      </c>
      <c r="C30" s="167" t="s">
        <v>85</v>
      </c>
      <c r="D30" s="240">
        <v>1.296</v>
      </c>
      <c r="E30" s="242">
        <f t="shared" si="0"/>
        <v>38.05204965517242</v>
      </c>
      <c r="F30" s="152"/>
      <c r="G30" s="37"/>
      <c r="H30" s="37">
        <v>58.9</v>
      </c>
      <c r="I30" s="32">
        <f t="shared" si="1"/>
        <v>304.41639724137934</v>
      </c>
      <c r="J30" s="37"/>
      <c r="K30" s="38">
        <v>250</v>
      </c>
      <c r="L30" s="102" t="s">
        <v>276</v>
      </c>
      <c r="M30" s="146">
        <v>3251589993</v>
      </c>
      <c r="N30" s="115"/>
    </row>
    <row r="31" spans="1:14" s="28" customFormat="1" ht="13.5" thickBot="1">
      <c r="A31" s="90" t="s">
        <v>83</v>
      </c>
      <c r="B31" s="191" t="s">
        <v>87</v>
      </c>
      <c r="C31" s="167" t="s">
        <v>88</v>
      </c>
      <c r="D31" s="240">
        <v>1.649</v>
      </c>
      <c r="E31" s="242">
        <f t="shared" si="0"/>
        <v>48.416535402298855</v>
      </c>
      <c r="F31" s="152">
        <v>88.12</v>
      </c>
      <c r="G31" s="37"/>
      <c r="H31" s="37"/>
      <c r="I31" s="32">
        <f t="shared" si="1"/>
        <v>387.33228321839084</v>
      </c>
      <c r="J31" s="37"/>
      <c r="K31" s="38"/>
      <c r="L31" s="102" t="s">
        <v>274</v>
      </c>
      <c r="M31" s="146">
        <v>3201084963</v>
      </c>
      <c r="N31" s="115"/>
    </row>
    <row r="32" spans="1:14" s="28" customFormat="1" ht="13.5" thickBot="1">
      <c r="A32" s="90" t="s">
        <v>86</v>
      </c>
      <c r="B32" s="191" t="s">
        <v>90</v>
      </c>
      <c r="C32" s="167" t="s">
        <v>91</v>
      </c>
      <c r="D32" s="240">
        <v>1.67</v>
      </c>
      <c r="E32" s="242">
        <f t="shared" si="0"/>
        <v>49.03311954022989</v>
      </c>
      <c r="F32" s="152">
        <v>494.25</v>
      </c>
      <c r="G32" s="37">
        <f>E32*12</f>
        <v>588.3974344827586</v>
      </c>
      <c r="H32" s="37">
        <v>219.7</v>
      </c>
      <c r="I32" s="32">
        <f t="shared" si="1"/>
        <v>392.2649563218392</v>
      </c>
      <c r="J32" s="37"/>
      <c r="K32" s="38"/>
      <c r="L32" s="102" t="s">
        <v>271</v>
      </c>
      <c r="M32" s="146">
        <v>3207034652</v>
      </c>
      <c r="N32" s="115"/>
    </row>
    <row r="33" spans="1:14" s="28" customFormat="1" ht="13.5" thickBot="1">
      <c r="A33" s="90" t="s">
        <v>89</v>
      </c>
      <c r="B33" s="191" t="s">
        <v>94</v>
      </c>
      <c r="C33" s="167" t="s">
        <v>95</v>
      </c>
      <c r="D33" s="240">
        <v>1.54</v>
      </c>
      <c r="E33" s="242">
        <f t="shared" si="0"/>
        <v>45.216170114942535</v>
      </c>
      <c r="F33" s="152">
        <v>379.82</v>
      </c>
      <c r="G33" s="37"/>
      <c r="H33" s="37"/>
      <c r="I33" s="32">
        <f t="shared" si="1"/>
        <v>361.72936091954034</v>
      </c>
      <c r="J33" s="37"/>
      <c r="K33" s="38">
        <v>250</v>
      </c>
      <c r="L33" s="102" t="s">
        <v>271</v>
      </c>
      <c r="M33" s="146">
        <v>3203938809</v>
      </c>
      <c r="N33" s="115"/>
    </row>
    <row r="34" spans="1:14" s="28" customFormat="1" ht="13.5" thickBot="1">
      <c r="A34" s="90" t="s">
        <v>92</v>
      </c>
      <c r="B34" s="153" t="s">
        <v>221</v>
      </c>
      <c r="C34" s="162" t="s">
        <v>222</v>
      </c>
      <c r="D34" s="240">
        <v>1.309</v>
      </c>
      <c r="E34" s="244">
        <f>D34*5108.84/174</f>
        <v>38.43374459770115</v>
      </c>
      <c r="F34" s="152">
        <v>282.49</v>
      </c>
      <c r="G34" s="37"/>
      <c r="H34" s="37">
        <v>179.15</v>
      </c>
      <c r="I34" s="37">
        <f>E34*80*10%</f>
        <v>307.4699567816092</v>
      </c>
      <c r="J34" s="37"/>
      <c r="K34" s="37">
        <v>1956</v>
      </c>
      <c r="L34" s="100" t="s">
        <v>276</v>
      </c>
      <c r="M34" s="146">
        <v>3243353856</v>
      </c>
      <c r="N34" s="115"/>
    </row>
    <row r="35" spans="1:14" s="28" customFormat="1" ht="13.5" thickBot="1">
      <c r="A35" s="90" t="s">
        <v>93</v>
      </c>
      <c r="B35" s="191" t="s">
        <v>253</v>
      </c>
      <c r="C35" s="167" t="s">
        <v>97</v>
      </c>
      <c r="D35" s="240">
        <v>1.619</v>
      </c>
      <c r="E35" s="242">
        <f t="shared" si="0"/>
        <v>47.53570091954023</v>
      </c>
      <c r="F35" s="152">
        <v>79.86</v>
      </c>
      <c r="G35" s="37"/>
      <c r="H35" s="37"/>
      <c r="I35" s="32">
        <f t="shared" si="1"/>
        <v>380.28560735632186</v>
      </c>
      <c r="J35" s="37"/>
      <c r="K35" s="38"/>
      <c r="L35" s="102" t="s">
        <v>274</v>
      </c>
      <c r="M35" s="146">
        <v>3201085064</v>
      </c>
      <c r="N35" s="115"/>
    </row>
    <row r="36" spans="1:14" s="28" customFormat="1" ht="13.5" thickBot="1">
      <c r="A36" s="90" t="s">
        <v>96</v>
      </c>
      <c r="B36" s="191" t="s">
        <v>99</v>
      </c>
      <c r="C36" s="167" t="s">
        <v>100</v>
      </c>
      <c r="D36" s="240">
        <v>1.348</v>
      </c>
      <c r="E36" s="242">
        <f t="shared" si="0"/>
        <v>39.57882942528736</v>
      </c>
      <c r="F36" s="152">
        <v>426.66</v>
      </c>
      <c r="G36" s="37"/>
      <c r="H36" s="37"/>
      <c r="I36" s="32">
        <f t="shared" si="1"/>
        <v>316.6306354022989</v>
      </c>
      <c r="J36" s="37"/>
      <c r="K36" s="38">
        <v>250</v>
      </c>
      <c r="L36" s="102" t="s">
        <v>275</v>
      </c>
      <c r="M36" s="146">
        <v>3238905542</v>
      </c>
      <c r="N36" s="115"/>
    </row>
    <row r="37" spans="1:14" s="28" customFormat="1" ht="13.5" thickBot="1">
      <c r="A37" s="90" t="s">
        <v>98</v>
      </c>
      <c r="B37" s="191" t="s">
        <v>291</v>
      </c>
      <c r="C37" s="167" t="s">
        <v>106</v>
      </c>
      <c r="D37" s="240">
        <v>1.296</v>
      </c>
      <c r="E37" s="242">
        <f t="shared" si="0"/>
        <v>38.05204965517242</v>
      </c>
      <c r="F37" s="152">
        <v>199.77</v>
      </c>
      <c r="G37" s="37"/>
      <c r="H37" s="37"/>
      <c r="I37" s="32">
        <f t="shared" si="1"/>
        <v>304.41639724137934</v>
      </c>
      <c r="J37" s="37"/>
      <c r="K37" s="37">
        <v>867</v>
      </c>
      <c r="L37" s="100" t="s">
        <v>275</v>
      </c>
      <c r="M37" s="146">
        <v>3223350187</v>
      </c>
      <c r="N37" s="115"/>
    </row>
    <row r="38" spans="1:14" s="28" customFormat="1" ht="13.5" thickBot="1">
      <c r="A38" s="90" t="s">
        <v>101</v>
      </c>
      <c r="B38" s="191" t="s">
        <v>108</v>
      </c>
      <c r="C38" s="167" t="s">
        <v>109</v>
      </c>
      <c r="D38" s="240">
        <v>1.329</v>
      </c>
      <c r="E38" s="242">
        <f t="shared" si="0"/>
        <v>39.0209675862069</v>
      </c>
      <c r="F38" s="152"/>
      <c r="G38" s="37">
        <f>E38*12</f>
        <v>468.25161103448283</v>
      </c>
      <c r="H38" s="37"/>
      <c r="I38" s="32">
        <f t="shared" si="1"/>
        <v>312.1677406896552</v>
      </c>
      <c r="J38" s="37"/>
      <c r="K38" s="37">
        <v>987</v>
      </c>
      <c r="L38" s="100" t="s">
        <v>274</v>
      </c>
      <c r="M38" s="146">
        <v>3201113074</v>
      </c>
      <c r="N38" s="115"/>
    </row>
    <row r="39" spans="1:14" s="28" customFormat="1" ht="13.5" thickBot="1">
      <c r="A39" s="90" t="s">
        <v>104</v>
      </c>
      <c r="B39" s="191" t="s">
        <v>111</v>
      </c>
      <c r="C39" s="167" t="s">
        <v>112</v>
      </c>
      <c r="D39" s="240">
        <v>1.663</v>
      </c>
      <c r="E39" s="242">
        <f t="shared" si="0"/>
        <v>48.82759149425288</v>
      </c>
      <c r="F39" s="152">
        <v>355.46</v>
      </c>
      <c r="G39" s="37"/>
      <c r="H39" s="37"/>
      <c r="I39" s="32">
        <f t="shared" si="1"/>
        <v>390.6207319540231</v>
      </c>
      <c r="J39" s="37"/>
      <c r="K39" s="37">
        <v>250</v>
      </c>
      <c r="L39" s="100" t="s">
        <v>271</v>
      </c>
      <c r="M39" s="146">
        <v>3204010417</v>
      </c>
      <c r="N39" s="115"/>
    </row>
    <row r="40" spans="1:14" s="28" customFormat="1" ht="13.5" thickBot="1">
      <c r="A40" s="90" t="s">
        <v>107</v>
      </c>
      <c r="B40" s="190" t="s">
        <v>114</v>
      </c>
      <c r="C40" s="161" t="s">
        <v>115</v>
      </c>
      <c r="D40" s="239">
        <v>1.566</v>
      </c>
      <c r="E40" s="242">
        <f t="shared" si="0"/>
        <v>45.979560000000006</v>
      </c>
      <c r="F40" s="151">
        <v>307.6</v>
      </c>
      <c r="G40" s="32"/>
      <c r="H40" s="32"/>
      <c r="I40" s="32">
        <f t="shared" si="1"/>
        <v>367.83648000000005</v>
      </c>
      <c r="J40" s="37"/>
      <c r="K40" s="37"/>
      <c r="L40" s="100" t="s">
        <v>271</v>
      </c>
      <c r="M40" s="146">
        <v>3204021743</v>
      </c>
      <c r="N40" s="115"/>
    </row>
    <row r="41" spans="1:14" s="28" customFormat="1" ht="13.5" thickBot="1">
      <c r="A41" s="90" t="s">
        <v>110</v>
      </c>
      <c r="B41" s="191" t="s">
        <v>117</v>
      </c>
      <c r="C41" s="162" t="s">
        <v>118</v>
      </c>
      <c r="D41" s="240">
        <v>1.585</v>
      </c>
      <c r="E41" s="242">
        <f t="shared" si="0"/>
        <v>46.53742183908046</v>
      </c>
      <c r="F41" s="152">
        <v>364.85</v>
      </c>
      <c r="G41" s="37"/>
      <c r="H41" s="37"/>
      <c r="I41" s="32">
        <f t="shared" si="1"/>
        <v>372.29937471264367</v>
      </c>
      <c r="J41" s="37"/>
      <c r="K41" s="37">
        <v>1316</v>
      </c>
      <c r="L41" s="100" t="s">
        <v>274</v>
      </c>
      <c r="M41" s="146">
        <v>3201085072</v>
      </c>
      <c r="N41" s="115"/>
    </row>
    <row r="42" spans="1:14" s="28" customFormat="1" ht="13.5" thickBot="1">
      <c r="A42" s="90" t="s">
        <v>113</v>
      </c>
      <c r="B42" s="191" t="s">
        <v>120</v>
      </c>
      <c r="C42" s="162" t="s">
        <v>121</v>
      </c>
      <c r="D42" s="240">
        <v>1.316</v>
      </c>
      <c r="E42" s="242">
        <f t="shared" si="0"/>
        <v>38.63927264367817</v>
      </c>
      <c r="F42" s="152">
        <v>173.1</v>
      </c>
      <c r="G42" s="37"/>
      <c r="H42" s="37">
        <v>600.29</v>
      </c>
      <c r="I42" s="32">
        <f t="shared" si="1"/>
        <v>309.11418114942535</v>
      </c>
      <c r="J42" s="37"/>
      <c r="K42" s="37">
        <v>250</v>
      </c>
      <c r="L42" s="100" t="s">
        <v>271</v>
      </c>
      <c r="M42" s="146">
        <v>3201227584</v>
      </c>
      <c r="N42" s="115"/>
    </row>
    <row r="43" spans="1:14" s="28" customFormat="1" ht="12.75">
      <c r="A43" s="90" t="s">
        <v>116</v>
      </c>
      <c r="B43" s="153" t="s">
        <v>123</v>
      </c>
      <c r="C43" s="162" t="s">
        <v>124</v>
      </c>
      <c r="D43" s="240">
        <v>0.781</v>
      </c>
      <c r="E43" s="244">
        <f t="shared" si="0"/>
        <v>22.931057701149427</v>
      </c>
      <c r="F43" s="152">
        <v>69.72</v>
      </c>
      <c r="G43" s="37"/>
      <c r="H43" s="37"/>
      <c r="I43" s="37">
        <f>E43*70*10%</f>
        <v>160.517403908046</v>
      </c>
      <c r="J43" s="37"/>
      <c r="K43" s="37"/>
      <c r="L43" s="100" t="s">
        <v>271</v>
      </c>
      <c r="M43" s="146">
        <v>3213573925</v>
      </c>
      <c r="N43" s="115"/>
    </row>
    <row r="44" spans="1:14" s="28" customFormat="1" ht="12.75">
      <c r="A44" s="70"/>
      <c r="B44" s="71"/>
      <c r="C44" s="72"/>
      <c r="D44" s="189"/>
      <c r="E44" s="237"/>
      <c r="F44" s="73"/>
      <c r="G44" s="73"/>
      <c r="H44" s="73"/>
      <c r="I44" s="73"/>
      <c r="J44" s="73"/>
      <c r="K44" s="73"/>
      <c r="L44" s="104"/>
      <c r="M44" s="115"/>
      <c r="N44" s="115"/>
    </row>
    <row r="45" spans="1:14" s="28" customFormat="1" ht="13.5" thickBot="1">
      <c r="A45" s="266"/>
      <c r="B45" s="81"/>
      <c r="C45" s="255"/>
      <c r="D45" s="267"/>
      <c r="E45" s="246"/>
      <c r="F45" s="268"/>
      <c r="G45" s="268"/>
      <c r="H45" s="268"/>
      <c r="I45" s="268"/>
      <c r="J45" s="268"/>
      <c r="K45" s="268"/>
      <c r="L45" s="256"/>
      <c r="M45" s="269"/>
      <c r="N45" s="115"/>
    </row>
    <row r="46" spans="1:14" s="188" customFormat="1" ht="27" customHeight="1" thickBot="1">
      <c r="A46" s="257" t="s">
        <v>292</v>
      </c>
      <c r="B46" s="258" t="s">
        <v>17</v>
      </c>
      <c r="C46" s="259" t="s">
        <v>254</v>
      </c>
      <c r="D46" s="260" t="s">
        <v>290</v>
      </c>
      <c r="E46" s="245"/>
      <c r="F46" s="261" t="s">
        <v>293</v>
      </c>
      <c r="G46" s="262" t="s">
        <v>294</v>
      </c>
      <c r="H46" s="263" t="s">
        <v>261</v>
      </c>
      <c r="I46" s="263" t="s">
        <v>262</v>
      </c>
      <c r="J46" s="263" t="s">
        <v>263</v>
      </c>
      <c r="K46" s="264" t="s">
        <v>264</v>
      </c>
      <c r="L46" s="265" t="s">
        <v>270</v>
      </c>
      <c r="M46" s="258" t="s">
        <v>280</v>
      </c>
      <c r="N46" s="184"/>
    </row>
    <row r="47" spans="1:14" s="28" customFormat="1" ht="13.5" thickBot="1">
      <c r="A47" s="160" t="s">
        <v>119</v>
      </c>
      <c r="B47" s="153" t="s">
        <v>126</v>
      </c>
      <c r="C47" s="162" t="s">
        <v>127</v>
      </c>
      <c r="D47" s="240">
        <v>1.642</v>
      </c>
      <c r="E47" s="244">
        <f>D47*5108.84/174</f>
        <v>48.21100735632184</v>
      </c>
      <c r="F47" s="152">
        <v>537.66</v>
      </c>
      <c r="G47" s="37">
        <f>E47*6</f>
        <v>289.2660441379311</v>
      </c>
      <c r="H47" s="37">
        <v>69.43</v>
      </c>
      <c r="I47" s="37">
        <f aca="true" t="shared" si="2" ref="I47:I54">E47*80*10%</f>
        <v>385.68805885057475</v>
      </c>
      <c r="J47" s="37"/>
      <c r="K47" s="38">
        <v>250</v>
      </c>
      <c r="L47" s="102" t="s">
        <v>271</v>
      </c>
      <c r="M47" s="146">
        <v>3206953335</v>
      </c>
      <c r="N47" s="115"/>
    </row>
    <row r="48" spans="1:14" s="28" customFormat="1" ht="13.5" thickBot="1">
      <c r="A48" s="160" t="s">
        <v>122</v>
      </c>
      <c r="B48" s="163" t="s">
        <v>129</v>
      </c>
      <c r="C48" s="161" t="s">
        <v>130</v>
      </c>
      <c r="D48" s="239">
        <v>1.89</v>
      </c>
      <c r="E48" s="244">
        <f aca="true" t="shared" si="3" ref="E48:E90">D48*5108.84/174</f>
        <v>55.4925724137931</v>
      </c>
      <c r="F48" s="151">
        <v>598.21</v>
      </c>
      <c r="G48" s="32">
        <f>E48*15</f>
        <v>832.3885862068964</v>
      </c>
      <c r="H48" s="32">
        <v>88.9</v>
      </c>
      <c r="I48" s="37">
        <f t="shared" si="2"/>
        <v>443.9405793103448</v>
      </c>
      <c r="J48" s="32"/>
      <c r="K48" s="33">
        <v>250</v>
      </c>
      <c r="L48" s="108" t="s">
        <v>274</v>
      </c>
      <c r="M48" s="145">
        <v>3201085013</v>
      </c>
      <c r="N48" s="115"/>
    </row>
    <row r="49" spans="1:14" s="28" customFormat="1" ht="13.5" thickBot="1">
      <c r="A49" s="160" t="s">
        <v>125</v>
      </c>
      <c r="B49" s="191" t="s">
        <v>250</v>
      </c>
      <c r="C49" s="167" t="s">
        <v>46</v>
      </c>
      <c r="D49" s="240">
        <v>1.505</v>
      </c>
      <c r="E49" s="242">
        <f>D49*5108.84/174</f>
        <v>44.18852988505747</v>
      </c>
      <c r="F49" s="152"/>
      <c r="G49" s="37"/>
      <c r="H49" s="37">
        <v>902.79</v>
      </c>
      <c r="I49" s="32">
        <f t="shared" si="2"/>
        <v>353.5082390804598</v>
      </c>
      <c r="J49" s="37"/>
      <c r="K49" s="38">
        <v>600</v>
      </c>
      <c r="L49" s="102" t="s">
        <v>271</v>
      </c>
      <c r="M49" s="146">
        <v>3204035547</v>
      </c>
      <c r="N49" s="115"/>
    </row>
    <row r="50" spans="1:14" s="28" customFormat="1" ht="13.5" thickBot="1">
      <c r="A50" s="160" t="s">
        <v>128</v>
      </c>
      <c r="B50" s="153" t="s">
        <v>132</v>
      </c>
      <c r="C50" s="162" t="s">
        <v>133</v>
      </c>
      <c r="D50" s="240">
        <v>1.568</v>
      </c>
      <c r="E50" s="244">
        <f t="shared" si="3"/>
        <v>46.038282298850575</v>
      </c>
      <c r="F50" s="152"/>
      <c r="G50" s="37"/>
      <c r="H50" s="37"/>
      <c r="I50" s="37">
        <f t="shared" si="2"/>
        <v>368.3062583908046</v>
      </c>
      <c r="J50" s="37"/>
      <c r="K50" s="38">
        <v>810</v>
      </c>
      <c r="L50" s="102" t="s">
        <v>271</v>
      </c>
      <c r="M50" s="146">
        <v>3204010409</v>
      </c>
      <c r="N50" s="115"/>
    </row>
    <row r="51" spans="1:14" s="28" customFormat="1" ht="13.5" thickBot="1">
      <c r="A51" s="160" t="s">
        <v>131</v>
      </c>
      <c r="B51" s="153" t="s">
        <v>135</v>
      </c>
      <c r="C51" s="162" t="s">
        <v>136</v>
      </c>
      <c r="D51" s="240">
        <v>1.415</v>
      </c>
      <c r="E51" s="244">
        <f t="shared" si="3"/>
        <v>41.54602643678161</v>
      </c>
      <c r="F51" s="152">
        <v>127.33</v>
      </c>
      <c r="G51" s="37"/>
      <c r="H51" s="37">
        <v>179.14</v>
      </c>
      <c r="I51" s="37">
        <f t="shared" si="2"/>
        <v>332.3682114942529</v>
      </c>
      <c r="J51" s="37"/>
      <c r="K51" s="38">
        <v>250</v>
      </c>
      <c r="L51" s="102" t="s">
        <v>271</v>
      </c>
      <c r="M51" s="146">
        <v>3206725631</v>
      </c>
      <c r="N51" s="115"/>
    </row>
    <row r="52" spans="1:14" s="28" customFormat="1" ht="13.5" thickBot="1">
      <c r="A52" s="160" t="s">
        <v>134</v>
      </c>
      <c r="B52" s="153" t="s">
        <v>148</v>
      </c>
      <c r="C52" s="162" t="s">
        <v>149</v>
      </c>
      <c r="D52" s="240">
        <v>1.335</v>
      </c>
      <c r="E52" s="244">
        <f t="shared" si="3"/>
        <v>39.19713448275862</v>
      </c>
      <c r="F52" s="152">
        <v>120.73</v>
      </c>
      <c r="G52" s="37"/>
      <c r="H52" s="37"/>
      <c r="I52" s="37">
        <f t="shared" si="2"/>
        <v>313.577075862069</v>
      </c>
      <c r="J52" s="37"/>
      <c r="K52" s="38">
        <v>877</v>
      </c>
      <c r="L52" s="102" t="s">
        <v>277</v>
      </c>
      <c r="M52" s="146">
        <v>3206045226</v>
      </c>
      <c r="N52" s="115"/>
    </row>
    <row r="53" spans="1:14" s="28" customFormat="1" ht="13.5" thickBot="1">
      <c r="A53" s="160" t="s">
        <v>137</v>
      </c>
      <c r="B53" s="153" t="s">
        <v>216</v>
      </c>
      <c r="C53" s="162" t="s">
        <v>217</v>
      </c>
      <c r="D53" s="240">
        <v>1.335</v>
      </c>
      <c r="E53" s="244">
        <f>D53*5108.84/174</f>
        <v>39.19713448275862</v>
      </c>
      <c r="F53" s="152">
        <v>263.4</v>
      </c>
      <c r="G53" s="37"/>
      <c r="H53" s="37"/>
      <c r="I53" s="37">
        <f t="shared" si="2"/>
        <v>313.577075862069</v>
      </c>
      <c r="J53" s="37"/>
      <c r="K53" s="37">
        <v>250</v>
      </c>
      <c r="L53" s="100" t="s">
        <v>275</v>
      </c>
      <c r="M53" s="146">
        <v>3220513030</v>
      </c>
      <c r="N53" s="115"/>
    </row>
    <row r="54" spans="1:14" s="28" customFormat="1" ht="13.5" thickBot="1">
      <c r="A54" s="160" t="s">
        <v>140</v>
      </c>
      <c r="B54" s="153" t="s">
        <v>138</v>
      </c>
      <c r="C54" s="162" t="s">
        <v>139</v>
      </c>
      <c r="D54" s="240">
        <v>1.547</v>
      </c>
      <c r="E54" s="244">
        <f t="shared" si="3"/>
        <v>45.42169816091954</v>
      </c>
      <c r="F54" s="152"/>
      <c r="G54" s="37"/>
      <c r="H54" s="37">
        <v>493.92</v>
      </c>
      <c r="I54" s="37">
        <f t="shared" si="2"/>
        <v>363.3735852873563</v>
      </c>
      <c r="J54" s="37"/>
      <c r="K54" s="38">
        <v>250</v>
      </c>
      <c r="L54" s="102" t="s">
        <v>271</v>
      </c>
      <c r="M54" s="146">
        <v>3204015058</v>
      </c>
      <c r="N54" s="115"/>
    </row>
    <row r="55" spans="1:14" s="203" customFormat="1" ht="13.5" thickBot="1">
      <c r="A55" s="160" t="s">
        <v>143</v>
      </c>
      <c r="B55" s="205" t="s">
        <v>296</v>
      </c>
      <c r="C55" s="206" t="s">
        <v>142</v>
      </c>
      <c r="D55" s="241">
        <v>1.376</v>
      </c>
      <c r="E55" s="244">
        <f t="shared" si="3"/>
        <v>40.4009416091954</v>
      </c>
      <c r="F55" s="197"/>
      <c r="G55" s="198"/>
      <c r="H55" s="198"/>
      <c r="I55" s="37"/>
      <c r="J55" s="198"/>
      <c r="K55" s="199"/>
      <c r="L55" s="200" t="s">
        <v>271</v>
      </c>
      <c r="M55" s="201">
        <v>3202927758</v>
      </c>
      <c r="N55" s="202"/>
    </row>
    <row r="56" spans="1:14" s="28" customFormat="1" ht="13.5" thickBot="1">
      <c r="A56" s="160" t="s">
        <v>144</v>
      </c>
      <c r="B56" s="153" t="s">
        <v>145</v>
      </c>
      <c r="C56" s="162" t="s">
        <v>146</v>
      </c>
      <c r="D56" s="240">
        <v>1.561</v>
      </c>
      <c r="E56" s="244">
        <f t="shared" si="3"/>
        <v>45.83275425287356</v>
      </c>
      <c r="F56" s="152"/>
      <c r="G56" s="37"/>
      <c r="H56" s="37">
        <v>712.04</v>
      </c>
      <c r="I56" s="37">
        <f aca="true" t="shared" si="4" ref="I56:I62">E56*80*10%</f>
        <v>366.66203402298856</v>
      </c>
      <c r="J56" s="37"/>
      <c r="K56" s="38">
        <v>250</v>
      </c>
      <c r="L56" s="102" t="s">
        <v>271</v>
      </c>
      <c r="M56" s="146">
        <v>3203992312</v>
      </c>
      <c r="N56" s="115"/>
    </row>
    <row r="57" spans="1:14" s="28" customFormat="1" ht="13.5" thickBot="1">
      <c r="A57" s="160" t="s">
        <v>147</v>
      </c>
      <c r="B57" s="153" t="s">
        <v>240</v>
      </c>
      <c r="C57" s="162" t="s">
        <v>241</v>
      </c>
      <c r="D57" s="240">
        <v>1.06</v>
      </c>
      <c r="E57" s="244">
        <f>D57*5108.84/174</f>
        <v>31.122818390804603</v>
      </c>
      <c r="F57" s="152">
        <v>244</v>
      </c>
      <c r="G57" s="37"/>
      <c r="H57" s="37">
        <v>57</v>
      </c>
      <c r="I57" s="37">
        <f t="shared" si="4"/>
        <v>248.98254712643686</v>
      </c>
      <c r="J57" s="37"/>
      <c r="K57" s="38">
        <v>752</v>
      </c>
      <c r="L57" s="102" t="s">
        <v>271</v>
      </c>
      <c r="M57" s="146">
        <v>3205778577</v>
      </c>
      <c r="N57" s="115"/>
    </row>
    <row r="58" spans="1:14" s="28" customFormat="1" ht="13.5" thickBot="1">
      <c r="A58" s="90" t="s">
        <v>150</v>
      </c>
      <c r="B58" s="191" t="s">
        <v>151</v>
      </c>
      <c r="C58" s="162" t="s">
        <v>152</v>
      </c>
      <c r="D58" s="240">
        <v>1.335</v>
      </c>
      <c r="E58" s="244">
        <f t="shared" si="3"/>
        <v>39.19713448275862</v>
      </c>
      <c r="F58" s="152"/>
      <c r="G58" s="37"/>
      <c r="H58" s="37"/>
      <c r="I58" s="37">
        <f t="shared" si="4"/>
        <v>313.577075862069</v>
      </c>
      <c r="J58" s="37"/>
      <c r="K58" s="38">
        <v>600</v>
      </c>
      <c r="L58" s="102" t="s">
        <v>273</v>
      </c>
      <c r="M58" s="146">
        <v>3234063231</v>
      </c>
      <c r="N58" s="115"/>
    </row>
    <row r="59" spans="1:14" s="28" customFormat="1" ht="13.5" thickBot="1">
      <c r="A59" s="90" t="s">
        <v>153</v>
      </c>
      <c r="B59" s="191" t="s">
        <v>81</v>
      </c>
      <c r="C59" s="167" t="s">
        <v>82</v>
      </c>
      <c r="D59" s="240">
        <v>1.685</v>
      </c>
      <c r="E59" s="242">
        <f>D59*5108.84/174</f>
        <v>49.473536781609205</v>
      </c>
      <c r="F59" s="152"/>
      <c r="G59" s="37"/>
      <c r="H59" s="37"/>
      <c r="I59" s="32">
        <f t="shared" si="4"/>
        <v>395.78829425287364</v>
      </c>
      <c r="J59" s="37"/>
      <c r="K59" s="38"/>
      <c r="L59" s="102" t="s">
        <v>274</v>
      </c>
      <c r="M59" s="146">
        <v>3201085021</v>
      </c>
      <c r="N59" s="115"/>
    </row>
    <row r="60" spans="1:14" s="28" customFormat="1" ht="13.5" thickBot="1">
      <c r="A60" s="90" t="s">
        <v>156</v>
      </c>
      <c r="B60" s="191" t="s">
        <v>51</v>
      </c>
      <c r="C60" s="167" t="s">
        <v>52</v>
      </c>
      <c r="D60" s="240">
        <v>1.505</v>
      </c>
      <c r="E60" s="242">
        <f>D60*5108.84/174</f>
        <v>44.18852988505747</v>
      </c>
      <c r="F60" s="152"/>
      <c r="G60" s="37"/>
      <c r="H60" s="37"/>
      <c r="I60" s="32">
        <f t="shared" si="4"/>
        <v>353.5082390804598</v>
      </c>
      <c r="J60" s="37"/>
      <c r="K60" s="38">
        <v>650</v>
      </c>
      <c r="L60" s="102" t="s">
        <v>273</v>
      </c>
      <c r="M60" s="146">
        <v>3226742777</v>
      </c>
      <c r="N60" s="115"/>
    </row>
    <row r="61" spans="1:14" s="28" customFormat="1" ht="13.5" thickBot="1">
      <c r="A61" s="90" t="s">
        <v>157</v>
      </c>
      <c r="B61" s="191" t="s">
        <v>210</v>
      </c>
      <c r="C61" s="162" t="s">
        <v>211</v>
      </c>
      <c r="D61" s="240">
        <v>1.395</v>
      </c>
      <c r="E61" s="244">
        <f>D61*5108.84/174</f>
        <v>40.95880344827586</v>
      </c>
      <c r="F61" s="152">
        <v>160.56</v>
      </c>
      <c r="G61" s="37"/>
      <c r="H61" s="37"/>
      <c r="I61" s="37">
        <f t="shared" si="4"/>
        <v>327.67042758620687</v>
      </c>
      <c r="J61" s="37"/>
      <c r="K61" s="38">
        <v>250</v>
      </c>
      <c r="L61" s="102" t="s">
        <v>276</v>
      </c>
      <c r="M61" s="146">
        <v>3242020709</v>
      </c>
      <c r="N61" s="115"/>
    </row>
    <row r="62" spans="1:14" s="28" customFormat="1" ht="13.5" thickBot="1">
      <c r="A62" s="93" t="s">
        <v>160</v>
      </c>
      <c r="B62" s="191" t="s">
        <v>154</v>
      </c>
      <c r="C62" s="162" t="s">
        <v>155</v>
      </c>
      <c r="D62" s="240">
        <v>1.376</v>
      </c>
      <c r="E62" s="244">
        <f>D62*5108.84/174</f>
        <v>40.4009416091954</v>
      </c>
      <c r="F62" s="152">
        <v>361.99</v>
      </c>
      <c r="G62" s="37"/>
      <c r="H62" s="37"/>
      <c r="I62" s="37">
        <f t="shared" si="4"/>
        <v>323.2075328735632</v>
      </c>
      <c r="J62" s="37"/>
      <c r="K62" s="38">
        <v>810</v>
      </c>
      <c r="L62" s="102" t="s">
        <v>271</v>
      </c>
      <c r="M62" s="146">
        <v>3204198345</v>
      </c>
      <c r="N62" s="115"/>
    </row>
    <row r="63" spans="1:14" s="28" customFormat="1" ht="13.5" thickBot="1">
      <c r="A63" s="160" t="s">
        <v>161</v>
      </c>
      <c r="B63" s="153" t="s">
        <v>269</v>
      </c>
      <c r="C63" s="162" t="s">
        <v>281</v>
      </c>
      <c r="D63" s="240">
        <v>1.421</v>
      </c>
      <c r="E63" s="244">
        <f>D63*5108.84/174</f>
        <v>41.72219333333334</v>
      </c>
      <c r="F63" s="152"/>
      <c r="G63" s="37"/>
      <c r="H63" s="37"/>
      <c r="I63" s="37"/>
      <c r="J63" s="37"/>
      <c r="K63" s="38">
        <v>940</v>
      </c>
      <c r="L63" s="102" t="s">
        <v>271</v>
      </c>
      <c r="M63" s="146">
        <v>3204133135</v>
      </c>
      <c r="N63" s="115"/>
    </row>
    <row r="64" spans="1:14" s="28" customFormat="1" ht="13.5" thickBot="1">
      <c r="A64" s="160" t="s">
        <v>164</v>
      </c>
      <c r="B64" s="153" t="s">
        <v>158</v>
      </c>
      <c r="C64" s="162" t="s">
        <v>159</v>
      </c>
      <c r="D64" s="240">
        <v>1.481</v>
      </c>
      <c r="E64" s="244">
        <f t="shared" si="3"/>
        <v>43.48386229885058</v>
      </c>
      <c r="F64" s="152"/>
      <c r="G64" s="37"/>
      <c r="H64" s="37"/>
      <c r="I64" s="37">
        <f>E64*80*10%</f>
        <v>347.87089839080465</v>
      </c>
      <c r="J64" s="37"/>
      <c r="K64" s="38">
        <v>810</v>
      </c>
      <c r="L64" s="102" t="s">
        <v>273</v>
      </c>
      <c r="M64" s="146">
        <v>3234621398</v>
      </c>
      <c r="N64" s="115"/>
    </row>
    <row r="65" spans="1:14" s="28" customFormat="1" ht="13.5" thickBot="1">
      <c r="A65" s="160" t="s">
        <v>167</v>
      </c>
      <c r="B65" s="153" t="s">
        <v>162</v>
      </c>
      <c r="C65" s="162" t="s">
        <v>163</v>
      </c>
      <c r="D65" s="240">
        <v>1.309</v>
      </c>
      <c r="E65" s="244">
        <f t="shared" si="3"/>
        <v>38.43374459770115</v>
      </c>
      <c r="F65" s="152"/>
      <c r="G65" s="37"/>
      <c r="H65" s="37"/>
      <c r="I65" s="37">
        <f>E65*32*10%</f>
        <v>122.98798271264369</v>
      </c>
      <c r="J65" s="37"/>
      <c r="K65" s="38">
        <v>600</v>
      </c>
      <c r="L65" s="102" t="s">
        <v>271</v>
      </c>
      <c r="M65" s="146">
        <v>3204240808</v>
      </c>
      <c r="N65" s="115"/>
    </row>
    <row r="66" spans="1:14" s="28" customFormat="1" ht="13.5" thickBot="1">
      <c r="A66" s="160" t="s">
        <v>170</v>
      </c>
      <c r="B66" s="153" t="s">
        <v>232</v>
      </c>
      <c r="C66" s="162" t="s">
        <v>233</v>
      </c>
      <c r="D66" s="240">
        <v>1.568</v>
      </c>
      <c r="E66" s="244">
        <f>D66*5108.84/174</f>
        <v>46.038282298850575</v>
      </c>
      <c r="F66" s="152"/>
      <c r="G66" s="37"/>
      <c r="H66" s="37"/>
      <c r="I66" s="37"/>
      <c r="J66" s="37"/>
      <c r="K66" s="38">
        <v>250</v>
      </c>
      <c r="L66" s="102" t="s">
        <v>271</v>
      </c>
      <c r="M66" s="146">
        <v>3203978191</v>
      </c>
      <c r="N66" s="115"/>
    </row>
    <row r="67" spans="1:14" s="28" customFormat="1" ht="13.5" thickBot="1">
      <c r="A67" s="160" t="s">
        <v>173</v>
      </c>
      <c r="B67" s="153" t="s">
        <v>165</v>
      </c>
      <c r="C67" s="162" t="s">
        <v>166</v>
      </c>
      <c r="D67" s="240">
        <v>1.547</v>
      </c>
      <c r="E67" s="244">
        <f t="shared" si="3"/>
        <v>45.42169816091954</v>
      </c>
      <c r="F67" s="152"/>
      <c r="G67" s="37"/>
      <c r="H67" s="37"/>
      <c r="I67" s="37">
        <f>E67*16*10%</f>
        <v>72.67471705747127</v>
      </c>
      <c r="J67" s="37"/>
      <c r="K67" s="38"/>
      <c r="L67" s="102" t="s">
        <v>271</v>
      </c>
      <c r="M67" s="146">
        <v>3204197043</v>
      </c>
      <c r="N67" s="115"/>
    </row>
    <row r="68" spans="1:14" s="28" customFormat="1" ht="13.5" thickBot="1">
      <c r="A68" s="160" t="s">
        <v>176</v>
      </c>
      <c r="B68" s="153" t="s">
        <v>168</v>
      </c>
      <c r="C68" s="162" t="s">
        <v>169</v>
      </c>
      <c r="D68" s="240">
        <v>1.408</v>
      </c>
      <c r="E68" s="244">
        <f t="shared" si="3"/>
        <v>41.3404983908046</v>
      </c>
      <c r="F68" s="152"/>
      <c r="G68" s="37"/>
      <c r="H68" s="37"/>
      <c r="I68" s="37">
        <f>E68*16*10%</f>
        <v>66.14479742528736</v>
      </c>
      <c r="J68" s="37"/>
      <c r="K68" s="38">
        <v>768</v>
      </c>
      <c r="L68" s="102" t="s">
        <v>271</v>
      </c>
      <c r="M68" s="146">
        <v>3204079515</v>
      </c>
      <c r="N68" s="115"/>
    </row>
    <row r="69" spans="1:14" s="28" customFormat="1" ht="13.5" thickBot="1">
      <c r="A69" s="160" t="s">
        <v>179</v>
      </c>
      <c r="B69" s="153" t="s">
        <v>171</v>
      </c>
      <c r="C69" s="162" t="s">
        <v>172</v>
      </c>
      <c r="D69" s="240">
        <v>1.322</v>
      </c>
      <c r="E69" s="244">
        <f t="shared" si="3"/>
        <v>38.81543954022989</v>
      </c>
      <c r="F69" s="152"/>
      <c r="G69" s="37">
        <f>E69*18</f>
        <v>698.677911724138</v>
      </c>
      <c r="H69" s="37">
        <v>603.03</v>
      </c>
      <c r="I69" s="37">
        <f>E69*70*10%</f>
        <v>271.70807678160924</v>
      </c>
      <c r="J69" s="37"/>
      <c r="K69" s="38">
        <v>650</v>
      </c>
      <c r="L69" s="102" t="s">
        <v>271</v>
      </c>
      <c r="M69" s="146">
        <v>3209023009</v>
      </c>
      <c r="N69" s="115"/>
    </row>
    <row r="70" spans="1:14" s="28" customFormat="1" ht="13.5" thickBot="1">
      <c r="A70" s="160" t="s">
        <v>182</v>
      </c>
      <c r="B70" s="153" t="s">
        <v>174</v>
      </c>
      <c r="C70" s="162" t="s">
        <v>175</v>
      </c>
      <c r="D70" s="240">
        <v>1.054</v>
      </c>
      <c r="E70" s="244">
        <f t="shared" si="3"/>
        <v>30.946651494252876</v>
      </c>
      <c r="F70" s="152"/>
      <c r="G70" s="37"/>
      <c r="H70" s="37"/>
      <c r="I70" s="37">
        <f>E70*80*10%</f>
        <v>247.573211954023</v>
      </c>
      <c r="J70" s="37"/>
      <c r="K70" s="38"/>
      <c r="L70" s="102" t="s">
        <v>271</v>
      </c>
      <c r="M70" s="146">
        <v>3204010100</v>
      </c>
      <c r="N70" s="115"/>
    </row>
    <row r="71" spans="1:14" s="28" customFormat="1" ht="13.5" thickBot="1">
      <c r="A71" s="160" t="s">
        <v>185</v>
      </c>
      <c r="B71" s="153" t="s">
        <v>180</v>
      </c>
      <c r="C71" s="162" t="s">
        <v>181</v>
      </c>
      <c r="D71" s="240">
        <v>0.688</v>
      </c>
      <c r="E71" s="244">
        <f t="shared" si="3"/>
        <v>20.2004708045977</v>
      </c>
      <c r="F71" s="152"/>
      <c r="G71" s="37"/>
      <c r="H71" s="37"/>
      <c r="I71" s="37">
        <f>E71*80*10%</f>
        <v>161.6037664367816</v>
      </c>
      <c r="J71" s="37"/>
      <c r="K71" s="38">
        <v>250</v>
      </c>
      <c r="L71" s="102" t="s">
        <v>271</v>
      </c>
      <c r="M71" s="146">
        <v>3204016235</v>
      </c>
      <c r="N71" s="115"/>
    </row>
    <row r="72" spans="1:14" s="28" customFormat="1" ht="13.5" thickBot="1">
      <c r="A72" s="160" t="s">
        <v>188</v>
      </c>
      <c r="B72" s="153" t="s">
        <v>183</v>
      </c>
      <c r="C72" s="162" t="s">
        <v>184</v>
      </c>
      <c r="D72" s="240">
        <v>0.182</v>
      </c>
      <c r="E72" s="244">
        <f t="shared" si="3"/>
        <v>5.343729195402299</v>
      </c>
      <c r="F72" s="152"/>
      <c r="G72" s="37"/>
      <c r="H72" s="37"/>
      <c r="I72" s="37"/>
      <c r="J72" s="37"/>
      <c r="K72" s="38"/>
      <c r="L72" s="102" t="s">
        <v>271</v>
      </c>
      <c r="M72" s="146">
        <v>3204072195</v>
      </c>
      <c r="N72" s="115"/>
    </row>
    <row r="73" spans="1:14" s="28" customFormat="1" ht="13.5" thickBot="1">
      <c r="A73" s="160" t="s">
        <v>191</v>
      </c>
      <c r="B73" s="153" t="s">
        <v>186</v>
      </c>
      <c r="C73" s="162" t="s">
        <v>187</v>
      </c>
      <c r="D73" s="240">
        <v>0.332</v>
      </c>
      <c r="E73" s="244">
        <f t="shared" si="3"/>
        <v>9.747901609195402</v>
      </c>
      <c r="F73" s="152"/>
      <c r="G73" s="37"/>
      <c r="H73" s="37"/>
      <c r="I73" s="37">
        <f>E73*40*10%</f>
        <v>38.99160643678161</v>
      </c>
      <c r="J73" s="37"/>
      <c r="K73" s="38"/>
      <c r="L73" s="102" t="s">
        <v>271</v>
      </c>
      <c r="M73" s="146">
        <v>3204079960</v>
      </c>
      <c r="N73" s="115"/>
    </row>
    <row r="74" spans="1:14" s="28" customFormat="1" ht="13.5" thickBot="1">
      <c r="A74" s="160" t="s">
        <v>194</v>
      </c>
      <c r="B74" s="153" t="s">
        <v>189</v>
      </c>
      <c r="C74" s="162" t="s">
        <v>190</v>
      </c>
      <c r="D74" s="240">
        <v>0.701</v>
      </c>
      <c r="E74" s="244">
        <f t="shared" si="3"/>
        <v>20.582165747126435</v>
      </c>
      <c r="F74" s="152"/>
      <c r="G74" s="37"/>
      <c r="H74" s="37"/>
      <c r="I74" s="37">
        <f>E74*80*10%</f>
        <v>164.6573259770115</v>
      </c>
      <c r="J74" s="37"/>
      <c r="K74" s="38">
        <v>250</v>
      </c>
      <c r="L74" s="102" t="s">
        <v>271</v>
      </c>
      <c r="M74" s="146">
        <v>3203970986</v>
      </c>
      <c r="N74" s="115"/>
    </row>
    <row r="75" spans="1:14" s="28" customFormat="1" ht="13.5" thickBot="1">
      <c r="A75" s="160" t="s">
        <v>197</v>
      </c>
      <c r="B75" s="153" t="s">
        <v>192</v>
      </c>
      <c r="C75" s="162" t="s">
        <v>193</v>
      </c>
      <c r="D75" s="240">
        <v>0.67</v>
      </c>
      <c r="E75" s="244">
        <f t="shared" si="3"/>
        <v>19.671970114942532</v>
      </c>
      <c r="F75" s="152"/>
      <c r="G75" s="37"/>
      <c r="H75" s="37"/>
      <c r="I75" s="37">
        <f>E75*80*10%</f>
        <v>157.37576091954026</v>
      </c>
      <c r="J75" s="37"/>
      <c r="K75" s="38">
        <v>250</v>
      </c>
      <c r="L75" s="102" t="s">
        <v>271</v>
      </c>
      <c r="M75" s="146">
        <v>3204067208</v>
      </c>
      <c r="N75" s="115"/>
    </row>
    <row r="76" spans="1:14" s="28" customFormat="1" ht="13.5" thickBot="1">
      <c r="A76" s="160" t="s">
        <v>200</v>
      </c>
      <c r="B76" s="153" t="s">
        <v>195</v>
      </c>
      <c r="C76" s="162" t="s">
        <v>196</v>
      </c>
      <c r="D76" s="240">
        <v>0.657</v>
      </c>
      <c r="E76" s="244">
        <f t="shared" si="3"/>
        <v>19.290275172413793</v>
      </c>
      <c r="F76" s="152"/>
      <c r="G76" s="37"/>
      <c r="H76" s="37"/>
      <c r="I76" s="37">
        <f>E76*80*10%</f>
        <v>154.32220137931037</v>
      </c>
      <c r="J76" s="37"/>
      <c r="K76" s="38">
        <v>250</v>
      </c>
      <c r="L76" s="102" t="s">
        <v>271</v>
      </c>
      <c r="M76" s="146">
        <v>3204142989</v>
      </c>
      <c r="N76" s="115"/>
    </row>
    <row r="77" spans="1:14" s="28" customFormat="1" ht="13.5" thickBot="1">
      <c r="A77" s="160" t="s">
        <v>203</v>
      </c>
      <c r="B77" s="153" t="s">
        <v>198</v>
      </c>
      <c r="C77" s="162" t="s">
        <v>199</v>
      </c>
      <c r="D77" s="240">
        <v>0.67</v>
      </c>
      <c r="E77" s="244">
        <f t="shared" si="3"/>
        <v>19.671970114942532</v>
      </c>
      <c r="F77" s="152"/>
      <c r="G77" s="37"/>
      <c r="H77" s="37"/>
      <c r="I77" s="37"/>
      <c r="J77" s="37"/>
      <c r="K77" s="38">
        <v>600</v>
      </c>
      <c r="L77" s="102" t="s">
        <v>271</v>
      </c>
      <c r="M77" s="146">
        <v>3209666848</v>
      </c>
      <c r="N77" s="115"/>
    </row>
    <row r="78" spans="1:14" s="28" customFormat="1" ht="13.5" thickBot="1">
      <c r="A78" s="160" t="s">
        <v>206</v>
      </c>
      <c r="B78" s="153" t="s">
        <v>201</v>
      </c>
      <c r="C78" s="162" t="s">
        <v>202</v>
      </c>
      <c r="D78" s="240">
        <v>0.159</v>
      </c>
      <c r="E78" s="244">
        <f t="shared" si="3"/>
        <v>4.6684227586206895</v>
      </c>
      <c r="F78" s="152"/>
      <c r="G78" s="37"/>
      <c r="H78" s="37"/>
      <c r="I78" s="37"/>
      <c r="J78" s="37"/>
      <c r="K78" s="38"/>
      <c r="L78" s="102" t="s">
        <v>271</v>
      </c>
      <c r="M78" s="146">
        <v>3212211696</v>
      </c>
      <c r="N78" s="115"/>
    </row>
    <row r="79" spans="1:14" s="28" customFormat="1" ht="13.5" thickBot="1">
      <c r="A79" s="160" t="s">
        <v>209</v>
      </c>
      <c r="B79" s="153" t="s">
        <v>204</v>
      </c>
      <c r="C79" s="162" t="s">
        <v>205</v>
      </c>
      <c r="D79" s="240">
        <v>0.88</v>
      </c>
      <c r="E79" s="244">
        <f t="shared" si="3"/>
        <v>25.837811494252872</v>
      </c>
      <c r="F79" s="152"/>
      <c r="G79" s="37"/>
      <c r="H79" s="37"/>
      <c r="I79" s="37">
        <f>E79*80*10%</f>
        <v>206.702491954023</v>
      </c>
      <c r="J79" s="37"/>
      <c r="K79" s="38">
        <v>850</v>
      </c>
      <c r="L79" s="102" t="s">
        <v>271</v>
      </c>
      <c r="M79" s="146">
        <v>3204034361</v>
      </c>
      <c r="N79" s="115"/>
    </row>
    <row r="80" spans="1:14" s="28" customFormat="1" ht="13.5" thickBot="1">
      <c r="A80" s="160" t="s">
        <v>212</v>
      </c>
      <c r="B80" s="153" t="s">
        <v>207</v>
      </c>
      <c r="C80" s="162" t="s">
        <v>208</v>
      </c>
      <c r="D80" s="240">
        <v>0.688</v>
      </c>
      <c r="E80" s="244">
        <f t="shared" si="3"/>
        <v>20.2004708045977</v>
      </c>
      <c r="F80" s="152"/>
      <c r="G80" s="37"/>
      <c r="H80" s="37"/>
      <c r="I80" s="37">
        <f>E80*80*10%</f>
        <v>161.6037664367816</v>
      </c>
      <c r="J80" s="37"/>
      <c r="K80" s="38">
        <v>250</v>
      </c>
      <c r="L80" s="165" t="s">
        <v>278</v>
      </c>
      <c r="M80" s="146">
        <v>3203218021</v>
      </c>
      <c r="N80" s="115"/>
    </row>
    <row r="81" spans="1:14" s="28" customFormat="1" ht="13.5" thickBot="1">
      <c r="A81" s="160" t="s">
        <v>215</v>
      </c>
      <c r="B81" s="153" t="s">
        <v>224</v>
      </c>
      <c r="C81" s="162" t="s">
        <v>225</v>
      </c>
      <c r="D81" s="240">
        <v>2.352</v>
      </c>
      <c r="E81" s="244">
        <f t="shared" si="3"/>
        <v>69.05742344827586</v>
      </c>
      <c r="F81" s="152"/>
      <c r="G81" s="37"/>
      <c r="H81" s="37"/>
      <c r="I81" s="37"/>
      <c r="J81" s="37"/>
      <c r="K81" s="37">
        <v>810</v>
      </c>
      <c r="L81" s="100" t="s">
        <v>271</v>
      </c>
      <c r="M81" s="146">
        <v>3204010433</v>
      </c>
      <c r="N81" s="115"/>
    </row>
    <row r="82" spans="1:14" s="28" customFormat="1" ht="13.5" thickBot="1">
      <c r="A82" s="160" t="s">
        <v>218</v>
      </c>
      <c r="B82" s="153" t="s">
        <v>227</v>
      </c>
      <c r="C82" s="162" t="s">
        <v>228</v>
      </c>
      <c r="D82" s="240">
        <v>1.466</v>
      </c>
      <c r="E82" s="244">
        <f t="shared" si="3"/>
        <v>43.04344505747127</v>
      </c>
      <c r="F82" s="152"/>
      <c r="G82" s="37"/>
      <c r="H82" s="37"/>
      <c r="I82" s="37"/>
      <c r="J82" s="37"/>
      <c r="K82" s="38">
        <v>250</v>
      </c>
      <c r="L82" s="102" t="s">
        <v>271</v>
      </c>
      <c r="M82" s="146">
        <v>3204010191</v>
      </c>
      <c r="N82" s="115"/>
    </row>
    <row r="83" spans="1:14" s="28" customFormat="1" ht="13.5" thickBot="1">
      <c r="A83" s="160" t="s">
        <v>219</v>
      </c>
      <c r="B83" s="153" t="s">
        <v>230</v>
      </c>
      <c r="C83" s="162" t="s">
        <v>231</v>
      </c>
      <c r="D83" s="240">
        <v>1.277</v>
      </c>
      <c r="E83" s="244">
        <f t="shared" si="3"/>
        <v>37.49418781609195</v>
      </c>
      <c r="F83" s="152"/>
      <c r="G83" s="37"/>
      <c r="H83" s="37"/>
      <c r="I83" s="37"/>
      <c r="J83" s="37"/>
      <c r="K83" s="38">
        <v>250</v>
      </c>
      <c r="L83" s="102" t="s">
        <v>271</v>
      </c>
      <c r="M83" s="146">
        <v>3203942467</v>
      </c>
      <c r="N83" s="115"/>
    </row>
    <row r="84" spans="1:14" s="28" customFormat="1" ht="13.5" thickBot="1">
      <c r="A84" s="160" t="s">
        <v>220</v>
      </c>
      <c r="B84" s="153" t="s">
        <v>289</v>
      </c>
      <c r="C84" s="162" t="s">
        <v>388</v>
      </c>
      <c r="D84" s="240">
        <v>0.863</v>
      </c>
      <c r="E84" s="244">
        <f t="shared" si="3"/>
        <v>25.338671954022992</v>
      </c>
      <c r="F84" s="152"/>
      <c r="G84" s="37"/>
      <c r="H84" s="37"/>
      <c r="I84" s="37"/>
      <c r="J84" s="37"/>
      <c r="K84" s="38"/>
      <c r="L84" s="102" t="s">
        <v>277</v>
      </c>
      <c r="M84" s="146">
        <v>3206949158</v>
      </c>
      <c r="N84" s="115"/>
    </row>
    <row r="85" spans="1:14" s="28" customFormat="1" ht="13.5" thickBot="1">
      <c r="A85" s="160" t="s">
        <v>223</v>
      </c>
      <c r="B85" s="153" t="s">
        <v>234</v>
      </c>
      <c r="C85" s="162" t="s">
        <v>235</v>
      </c>
      <c r="D85" s="240">
        <v>1.05</v>
      </c>
      <c r="E85" s="244">
        <f t="shared" si="3"/>
        <v>30.829206896551725</v>
      </c>
      <c r="F85" s="152"/>
      <c r="G85" s="37"/>
      <c r="H85" s="37"/>
      <c r="I85" s="37"/>
      <c r="J85" s="37"/>
      <c r="K85" s="38"/>
      <c r="L85" s="102" t="s">
        <v>271</v>
      </c>
      <c r="M85" s="146">
        <v>3204010505</v>
      </c>
      <c r="N85" s="115"/>
    </row>
    <row r="86" spans="1:14" s="28" customFormat="1" ht="13.5" thickBot="1">
      <c r="A86" s="160" t="s">
        <v>226</v>
      </c>
      <c r="B86" s="153" t="s">
        <v>236</v>
      </c>
      <c r="C86" s="162" t="s">
        <v>237</v>
      </c>
      <c r="D86" s="240">
        <v>0.33</v>
      </c>
      <c r="E86" s="244">
        <f t="shared" si="3"/>
        <v>9.689179310344828</v>
      </c>
      <c r="F86" s="152"/>
      <c r="G86" s="37"/>
      <c r="H86" s="37"/>
      <c r="I86" s="37">
        <f>E86*40*10%</f>
        <v>38.75671724137931</v>
      </c>
      <c r="J86" s="37"/>
      <c r="K86" s="38"/>
      <c r="L86" s="102" t="s">
        <v>271</v>
      </c>
      <c r="M86" s="146">
        <v>3204169869</v>
      </c>
      <c r="N86" s="115"/>
    </row>
    <row r="87" spans="1:14" s="28" customFormat="1" ht="13.5" thickBot="1">
      <c r="A87" s="160" t="s">
        <v>229</v>
      </c>
      <c r="B87" s="153" t="s">
        <v>242</v>
      </c>
      <c r="C87" s="162" t="s">
        <v>243</v>
      </c>
      <c r="D87" s="240">
        <v>0.316</v>
      </c>
      <c r="E87" s="244">
        <f t="shared" si="3"/>
        <v>9.278123218390805</v>
      </c>
      <c r="F87" s="152"/>
      <c r="G87" s="37"/>
      <c r="H87" s="37"/>
      <c r="I87" s="37">
        <f>E87*40*10%</f>
        <v>37.11249287356322</v>
      </c>
      <c r="J87" s="37"/>
      <c r="K87" s="38">
        <v>600</v>
      </c>
      <c r="L87" s="165" t="s">
        <v>279</v>
      </c>
      <c r="M87" s="146">
        <v>3200516734</v>
      </c>
      <c r="N87" s="115"/>
    </row>
    <row r="88" spans="1:14" s="28" customFormat="1" ht="13.5" thickBot="1">
      <c r="A88" s="160" t="s">
        <v>297</v>
      </c>
      <c r="B88" s="153" t="s">
        <v>298</v>
      </c>
      <c r="C88" s="167" t="s">
        <v>303</v>
      </c>
      <c r="D88" s="251">
        <v>0.562</v>
      </c>
      <c r="E88" s="244">
        <f t="shared" si="3"/>
        <v>16.500965977011496</v>
      </c>
      <c r="F88" s="152">
        <f>64.68/184*40</f>
        <v>14.060869565217393</v>
      </c>
      <c r="G88" s="37"/>
      <c r="H88" s="37"/>
      <c r="I88" s="37">
        <f>E88*32*10%</f>
        <v>52.80309112643679</v>
      </c>
      <c r="J88" s="37"/>
      <c r="K88" s="37"/>
      <c r="L88" s="100"/>
      <c r="M88" s="253"/>
      <c r="N88" s="115"/>
    </row>
    <row r="89" spans="1:14" s="203" customFormat="1" ht="13.5" thickBot="1">
      <c r="A89" s="298" t="s">
        <v>300</v>
      </c>
      <c r="B89" s="299" t="s">
        <v>390</v>
      </c>
      <c r="C89" s="300" t="s">
        <v>391</v>
      </c>
      <c r="D89" s="241">
        <v>0.795</v>
      </c>
      <c r="E89" s="271">
        <f t="shared" si="3"/>
        <v>23.34211379310345</v>
      </c>
      <c r="F89" s="197">
        <f>45.75/184*144</f>
        <v>35.80434782608695</v>
      </c>
      <c r="G89" s="198"/>
      <c r="H89" s="198"/>
      <c r="I89" s="198">
        <f>(E89*80*10%)/184*144</f>
        <v>146.14192983508246</v>
      </c>
      <c r="J89" s="198"/>
      <c r="K89" s="198">
        <v>830</v>
      </c>
      <c r="L89" s="272" t="s">
        <v>271</v>
      </c>
      <c r="M89" s="301"/>
      <c r="N89" s="202"/>
    </row>
    <row r="90" spans="1:14" s="203" customFormat="1" ht="13.5" thickBot="1">
      <c r="A90" s="298" t="s">
        <v>393</v>
      </c>
      <c r="B90" s="302" t="s">
        <v>395</v>
      </c>
      <c r="C90" s="303" t="s">
        <v>394</v>
      </c>
      <c r="D90" s="304">
        <v>1.25</v>
      </c>
      <c r="E90" s="305">
        <f t="shared" si="3"/>
        <v>36.701436781609196</v>
      </c>
      <c r="F90" s="306"/>
      <c r="G90" s="307"/>
      <c r="H90" s="307"/>
      <c r="I90" s="307"/>
      <c r="J90" s="307"/>
      <c r="K90" s="308">
        <v>250</v>
      </c>
      <c r="L90" s="309" t="s">
        <v>271</v>
      </c>
      <c r="M90" s="310"/>
      <c r="N90" s="202"/>
    </row>
    <row r="91" spans="1:14" s="175" customFormat="1" ht="19.5" thickBot="1">
      <c r="A91" s="168"/>
      <c r="B91" s="228" t="s">
        <v>238</v>
      </c>
      <c r="C91" s="229"/>
      <c r="D91" s="243"/>
      <c r="E91" s="249"/>
      <c r="F91" s="231">
        <f>SUM(F5:F89)</f>
        <v>9328.085217391303</v>
      </c>
      <c r="G91" s="234">
        <f>SUM(G5:G89)</f>
        <v>3392.7982606896553</v>
      </c>
      <c r="H91" s="234">
        <f>SUM(H5:H89)</f>
        <v>4715.079999999999</v>
      </c>
      <c r="I91" s="234">
        <f>SUM(I5:I90)</f>
        <v>19912.425928961522</v>
      </c>
      <c r="J91" s="234">
        <f>SUM(J5:J89)</f>
        <v>4171.594756</v>
      </c>
      <c r="K91" s="235">
        <f>SUM(K5:K90)</f>
        <v>32828</v>
      </c>
      <c r="L91" s="212"/>
      <c r="M91" s="232"/>
      <c r="N91" s="174"/>
    </row>
    <row r="92" spans="4:14" s="28" customFormat="1" ht="12.75">
      <c r="D92" s="156"/>
      <c r="E92" s="238"/>
      <c r="L92" s="105"/>
      <c r="M92" s="116"/>
      <c r="N92" s="115"/>
    </row>
    <row r="93" spans="4:14" s="28" customFormat="1" ht="12.75">
      <c r="D93" s="156"/>
      <c r="E93" s="238"/>
      <c r="L93" s="105"/>
      <c r="M93" s="116"/>
      <c r="N93" s="115"/>
    </row>
    <row r="94" spans="4:14" s="28" customFormat="1" ht="12.75">
      <c r="D94" s="156"/>
      <c r="E94" s="238"/>
      <c r="L94" s="105"/>
      <c r="M94" s="116"/>
      <c r="N94" s="115"/>
    </row>
    <row r="95" spans="4:14" s="28" customFormat="1" ht="12.75">
      <c r="D95" s="156"/>
      <c r="E95" s="238"/>
      <c r="L95" s="105"/>
      <c r="M95" s="116"/>
      <c r="N95" s="115"/>
    </row>
    <row r="96" spans="4:14" s="28" customFormat="1" ht="12.75">
      <c r="D96" s="156"/>
      <c r="E96" s="238"/>
      <c r="L96" s="105"/>
      <c r="M96" s="116"/>
      <c r="N96" s="115"/>
    </row>
    <row r="97" spans="4:14" s="28" customFormat="1" ht="12.75">
      <c r="D97" s="156"/>
      <c r="E97" s="238"/>
      <c r="L97" s="105"/>
      <c r="M97" s="116"/>
      <c r="N97" s="115"/>
    </row>
    <row r="98" spans="4:14" s="28" customFormat="1" ht="12.75">
      <c r="D98" s="156"/>
      <c r="E98" s="238"/>
      <c r="L98" s="105"/>
      <c r="M98" s="116"/>
      <c r="N98" s="115"/>
    </row>
    <row r="99" spans="4:14" s="28" customFormat="1" ht="12.75">
      <c r="D99" s="156"/>
      <c r="E99" s="238"/>
      <c r="L99" s="105"/>
      <c r="M99" s="116"/>
      <c r="N99" s="115"/>
    </row>
    <row r="100" spans="4:14" s="28" customFormat="1" ht="12.75">
      <c r="D100" s="156"/>
      <c r="E100" s="238"/>
      <c r="L100" s="105"/>
      <c r="M100" s="116"/>
      <c r="N100" s="115"/>
    </row>
    <row r="101" spans="4:14" s="28" customFormat="1" ht="12.75">
      <c r="D101" s="156"/>
      <c r="E101" s="238"/>
      <c r="L101" s="105"/>
      <c r="M101" s="116"/>
      <c r="N101" s="115"/>
    </row>
    <row r="102" spans="4:14" s="28" customFormat="1" ht="12.75">
      <c r="D102" s="156"/>
      <c r="E102" s="238"/>
      <c r="L102" s="105"/>
      <c r="M102" s="116"/>
      <c r="N102" s="115"/>
    </row>
    <row r="103" spans="4:14" s="28" customFormat="1" ht="12.75">
      <c r="D103" s="156"/>
      <c r="E103" s="238"/>
      <c r="L103" s="105"/>
      <c r="M103" s="116"/>
      <c r="N103" s="115"/>
    </row>
    <row r="104" spans="4:14" s="28" customFormat="1" ht="12.75">
      <c r="D104" s="156"/>
      <c r="E104" s="238"/>
      <c r="L104" s="105"/>
      <c r="M104" s="116"/>
      <c r="N104" s="115"/>
    </row>
    <row r="105" spans="4:14" s="28" customFormat="1" ht="12.75">
      <c r="D105" s="156"/>
      <c r="E105" s="238"/>
      <c r="L105" s="105"/>
      <c r="M105" s="116"/>
      <c r="N105" s="115"/>
    </row>
    <row r="106" spans="4:14" s="28" customFormat="1" ht="12.75">
      <c r="D106" s="156"/>
      <c r="E106" s="238"/>
      <c r="L106" s="105"/>
      <c r="M106" s="116"/>
      <c r="N106" s="115"/>
    </row>
    <row r="107" spans="4:14" s="28" customFormat="1" ht="12.75">
      <c r="D107" s="156"/>
      <c r="E107" s="238"/>
      <c r="L107" s="105"/>
      <c r="M107" s="116"/>
      <c r="N107" s="115"/>
    </row>
    <row r="108" spans="4:14" s="28" customFormat="1" ht="12.75">
      <c r="D108" s="156"/>
      <c r="E108" s="238"/>
      <c r="L108" s="105"/>
      <c r="M108" s="116"/>
      <c r="N108" s="115"/>
    </row>
    <row r="109" spans="4:14" s="28" customFormat="1" ht="12.75">
      <c r="D109" s="156"/>
      <c r="E109" s="238"/>
      <c r="L109" s="105"/>
      <c r="M109" s="116"/>
      <c r="N109" s="115"/>
    </row>
    <row r="110" spans="4:14" s="28" customFormat="1" ht="12.75">
      <c r="D110" s="156"/>
      <c r="E110" s="238"/>
      <c r="L110" s="105"/>
      <c r="M110" s="116"/>
      <c r="N110" s="115"/>
    </row>
    <row r="111" spans="4:14" s="28" customFormat="1" ht="12.75">
      <c r="D111" s="156"/>
      <c r="E111" s="238"/>
      <c r="L111" s="105"/>
      <c r="M111" s="116"/>
      <c r="N111" s="115"/>
    </row>
    <row r="112" spans="4:14" s="28" customFormat="1" ht="12.75">
      <c r="D112" s="156"/>
      <c r="E112" s="238"/>
      <c r="L112" s="105"/>
      <c r="M112" s="116"/>
      <c r="N112" s="115"/>
    </row>
    <row r="113" spans="4:14" s="28" customFormat="1" ht="12.75">
      <c r="D113" s="156"/>
      <c r="E113" s="238"/>
      <c r="L113" s="105"/>
      <c r="M113" s="116"/>
      <c r="N113" s="115"/>
    </row>
    <row r="114" spans="4:14" s="28" customFormat="1" ht="12.75">
      <c r="D114" s="156"/>
      <c r="E114" s="238"/>
      <c r="L114" s="105"/>
      <c r="M114" s="116"/>
      <c r="N114" s="115"/>
    </row>
    <row r="115" spans="4:14" s="28" customFormat="1" ht="12.75">
      <c r="D115" s="156"/>
      <c r="E115" s="238"/>
      <c r="L115" s="105"/>
      <c r="M115" s="116"/>
      <c r="N115" s="115"/>
    </row>
    <row r="116" spans="4:14" s="28" customFormat="1" ht="12.75">
      <c r="D116" s="156"/>
      <c r="E116" s="238"/>
      <c r="L116" s="105"/>
      <c r="M116" s="116"/>
      <c r="N116" s="115"/>
    </row>
    <row r="117" spans="4:14" s="28" customFormat="1" ht="12.75">
      <c r="D117" s="156"/>
      <c r="E117" s="238"/>
      <c r="L117" s="105"/>
      <c r="M117" s="116"/>
      <c r="N117" s="115"/>
    </row>
    <row r="118" spans="4:14" s="28" customFormat="1" ht="12.75">
      <c r="D118" s="156"/>
      <c r="E118" s="238"/>
      <c r="L118" s="105"/>
      <c r="M118" s="116"/>
      <c r="N118" s="115"/>
    </row>
    <row r="119" spans="4:14" s="28" customFormat="1" ht="12.75">
      <c r="D119" s="156"/>
      <c r="E119" s="238"/>
      <c r="L119" s="105"/>
      <c r="M119" s="116"/>
      <c r="N119" s="115"/>
    </row>
    <row r="120" spans="4:14" s="28" customFormat="1" ht="12.75">
      <c r="D120" s="156"/>
      <c r="E120" s="238"/>
      <c r="L120" s="105"/>
      <c r="M120" s="116"/>
      <c r="N120" s="115"/>
    </row>
    <row r="121" spans="4:14" s="28" customFormat="1" ht="12.75">
      <c r="D121" s="156"/>
      <c r="E121" s="238"/>
      <c r="L121" s="105"/>
      <c r="M121" s="116"/>
      <c r="N121" s="115"/>
    </row>
    <row r="122" spans="4:14" s="28" customFormat="1" ht="12.75">
      <c r="D122" s="156"/>
      <c r="E122" s="238"/>
      <c r="L122" s="105"/>
      <c r="M122" s="116"/>
      <c r="N122" s="115"/>
    </row>
    <row r="123" spans="4:14" s="28" customFormat="1" ht="12.75">
      <c r="D123" s="156"/>
      <c r="E123" s="238"/>
      <c r="L123" s="105"/>
      <c r="M123" s="116"/>
      <c r="N123" s="115"/>
    </row>
    <row r="124" spans="4:14" s="28" customFormat="1" ht="12.75">
      <c r="D124" s="156"/>
      <c r="E124" s="238"/>
      <c r="L124" s="105"/>
      <c r="M124" s="116"/>
      <c r="N124" s="115"/>
    </row>
    <row r="125" spans="4:14" s="28" customFormat="1" ht="12.75">
      <c r="D125" s="156"/>
      <c r="E125" s="238"/>
      <c r="L125" s="105"/>
      <c r="M125" s="116"/>
      <c r="N125" s="115"/>
    </row>
    <row r="126" spans="4:14" s="28" customFormat="1" ht="12.75">
      <c r="D126" s="156"/>
      <c r="E126" s="238"/>
      <c r="L126" s="105"/>
      <c r="M126" s="116"/>
      <c r="N126" s="115"/>
    </row>
    <row r="127" spans="4:14" s="28" customFormat="1" ht="12.75">
      <c r="D127" s="156"/>
      <c r="E127" s="238"/>
      <c r="L127" s="105"/>
      <c r="M127" s="116"/>
      <c r="N127" s="115"/>
    </row>
    <row r="128" spans="4:14" s="28" customFormat="1" ht="12.75">
      <c r="D128" s="156"/>
      <c r="E128" s="238"/>
      <c r="L128" s="105"/>
      <c r="M128" s="116"/>
      <c r="N128" s="115"/>
    </row>
    <row r="129" spans="4:14" s="28" customFormat="1" ht="12.75">
      <c r="D129" s="156"/>
      <c r="E129" s="238"/>
      <c r="L129" s="105"/>
      <c r="M129" s="116"/>
      <c r="N129" s="115"/>
    </row>
    <row r="130" spans="4:14" s="28" customFormat="1" ht="12.75">
      <c r="D130" s="156"/>
      <c r="E130" s="238"/>
      <c r="L130" s="105"/>
      <c r="M130" s="116"/>
      <c r="N130" s="115"/>
    </row>
    <row r="131" spans="4:14" s="28" customFormat="1" ht="12.75">
      <c r="D131" s="156"/>
      <c r="E131" s="238"/>
      <c r="L131" s="105"/>
      <c r="M131" s="116"/>
      <c r="N131" s="115"/>
    </row>
    <row r="132" spans="4:14" s="28" customFormat="1" ht="12.75">
      <c r="D132" s="156"/>
      <c r="E132" s="238"/>
      <c r="L132" s="105"/>
      <c r="M132" s="116"/>
      <c r="N132" s="115"/>
    </row>
    <row r="133" spans="4:14" s="28" customFormat="1" ht="12.75">
      <c r="D133" s="156"/>
      <c r="E133" s="238"/>
      <c r="L133" s="105"/>
      <c r="M133" s="116"/>
      <c r="N133" s="115"/>
    </row>
    <row r="134" spans="4:14" s="28" customFormat="1" ht="12.75">
      <c r="D134" s="156"/>
      <c r="E134" s="238"/>
      <c r="L134" s="105"/>
      <c r="M134" s="116"/>
      <c r="N134" s="115"/>
    </row>
    <row r="135" spans="4:14" s="28" customFormat="1" ht="12.75">
      <c r="D135" s="156"/>
      <c r="E135" s="238"/>
      <c r="L135" s="105"/>
      <c r="M135" s="116"/>
      <c r="N135" s="115"/>
    </row>
    <row r="136" spans="4:14" s="28" customFormat="1" ht="12.75">
      <c r="D136" s="156"/>
      <c r="E136" s="238"/>
      <c r="L136" s="105"/>
      <c r="M136" s="116"/>
      <c r="N136" s="115"/>
    </row>
    <row r="137" spans="4:14" s="28" customFormat="1" ht="12.75">
      <c r="D137" s="156"/>
      <c r="E137" s="238"/>
      <c r="L137" s="105"/>
      <c r="M137" s="116"/>
      <c r="N137" s="115"/>
    </row>
    <row r="138" spans="4:14" s="28" customFormat="1" ht="12.75">
      <c r="D138" s="156"/>
      <c r="E138" s="238"/>
      <c r="L138" s="105"/>
      <c r="M138" s="116"/>
      <c r="N138" s="115"/>
    </row>
    <row r="139" spans="4:14" s="28" customFormat="1" ht="12.75">
      <c r="D139" s="156"/>
      <c r="E139" s="238"/>
      <c r="L139" s="105"/>
      <c r="M139" s="116"/>
      <c r="N139" s="115"/>
    </row>
    <row r="140" spans="4:14" s="28" customFormat="1" ht="12.75">
      <c r="D140" s="156"/>
      <c r="E140" s="238"/>
      <c r="L140" s="105"/>
      <c r="M140" s="116"/>
      <c r="N140" s="115"/>
    </row>
    <row r="141" spans="4:14" s="28" customFormat="1" ht="12.75">
      <c r="D141" s="156"/>
      <c r="E141" s="238"/>
      <c r="L141" s="105"/>
      <c r="M141" s="116"/>
      <c r="N141" s="115"/>
    </row>
    <row r="142" spans="4:14" s="28" customFormat="1" ht="12.75">
      <c r="D142" s="156"/>
      <c r="E142" s="238"/>
      <c r="L142" s="105"/>
      <c r="M142" s="116"/>
      <c r="N142" s="115"/>
    </row>
    <row r="143" spans="4:14" s="28" customFormat="1" ht="12.75">
      <c r="D143" s="156"/>
      <c r="E143" s="238"/>
      <c r="L143" s="105"/>
      <c r="M143" s="116"/>
      <c r="N143" s="115"/>
    </row>
    <row r="144" spans="4:14" s="28" customFormat="1" ht="12.75">
      <c r="D144" s="156"/>
      <c r="E144" s="238"/>
      <c r="L144" s="105"/>
      <c r="M144" s="116"/>
      <c r="N144" s="115"/>
    </row>
    <row r="145" spans="4:14" s="28" customFormat="1" ht="12.75">
      <c r="D145" s="156"/>
      <c r="E145" s="238"/>
      <c r="L145" s="105"/>
      <c r="M145" s="116"/>
      <c r="N145" s="115"/>
    </row>
    <row r="146" spans="4:14" s="28" customFormat="1" ht="12.75">
      <c r="D146" s="156"/>
      <c r="E146" s="238"/>
      <c r="L146" s="105"/>
      <c r="M146" s="116"/>
      <c r="N146" s="115"/>
    </row>
    <row r="147" spans="4:14" s="28" customFormat="1" ht="12.75">
      <c r="D147" s="156"/>
      <c r="E147" s="238"/>
      <c r="L147" s="105"/>
      <c r="M147" s="116"/>
      <c r="N147" s="115"/>
    </row>
    <row r="148" spans="4:14" s="28" customFormat="1" ht="12.75">
      <c r="D148" s="156"/>
      <c r="E148" s="238"/>
      <c r="L148" s="105"/>
      <c r="M148" s="116"/>
      <c r="N148" s="115"/>
    </row>
    <row r="149" spans="4:14" s="28" customFormat="1" ht="12.75">
      <c r="D149" s="156"/>
      <c r="E149" s="238"/>
      <c r="L149" s="105"/>
      <c r="M149" s="116"/>
      <c r="N149" s="115"/>
    </row>
    <row r="150" spans="4:14" s="28" customFormat="1" ht="12.75">
      <c r="D150" s="156"/>
      <c r="E150" s="238"/>
      <c r="L150" s="105"/>
      <c r="M150" s="116"/>
      <c r="N150" s="115"/>
    </row>
    <row r="151" spans="4:14" s="28" customFormat="1" ht="12.75">
      <c r="D151" s="156"/>
      <c r="E151" s="238"/>
      <c r="L151" s="105"/>
      <c r="M151" s="116"/>
      <c r="N151" s="115"/>
    </row>
    <row r="152" spans="4:14" s="28" customFormat="1" ht="12.75">
      <c r="D152" s="156"/>
      <c r="E152" s="238"/>
      <c r="L152" s="105"/>
      <c r="M152" s="116"/>
      <c r="N152" s="115"/>
    </row>
    <row r="153" spans="4:14" s="28" customFormat="1" ht="12.75">
      <c r="D153" s="156"/>
      <c r="E153" s="238"/>
      <c r="L153" s="105"/>
      <c r="M153" s="116"/>
      <c r="N153" s="115"/>
    </row>
    <row r="154" spans="4:14" s="28" customFormat="1" ht="12.75">
      <c r="D154" s="156"/>
      <c r="E154" s="238"/>
      <c r="L154" s="105"/>
      <c r="M154" s="116"/>
      <c r="N154" s="115"/>
    </row>
    <row r="155" spans="4:14" s="28" customFormat="1" ht="12.75">
      <c r="D155" s="156"/>
      <c r="E155" s="238"/>
      <c r="L155" s="105"/>
      <c r="M155" s="116"/>
      <c r="N155" s="115"/>
    </row>
    <row r="156" spans="4:14" s="28" customFormat="1" ht="12.75">
      <c r="D156" s="156"/>
      <c r="E156" s="238"/>
      <c r="L156" s="105"/>
      <c r="M156" s="116"/>
      <c r="N156" s="115"/>
    </row>
    <row r="157" spans="4:14" s="28" customFormat="1" ht="12.75">
      <c r="D157" s="156"/>
      <c r="E157" s="238"/>
      <c r="L157" s="105"/>
      <c r="M157" s="116"/>
      <c r="N157" s="115"/>
    </row>
    <row r="158" spans="4:14" s="28" customFormat="1" ht="12.75">
      <c r="D158" s="156"/>
      <c r="E158" s="238"/>
      <c r="L158" s="105"/>
      <c r="M158" s="116"/>
      <c r="N158" s="115"/>
    </row>
    <row r="159" spans="4:14" s="28" customFormat="1" ht="12.75">
      <c r="D159" s="156"/>
      <c r="E159" s="238"/>
      <c r="L159" s="105"/>
      <c r="M159" s="116"/>
      <c r="N159" s="115"/>
    </row>
    <row r="160" spans="4:14" s="28" customFormat="1" ht="12.75">
      <c r="D160" s="156"/>
      <c r="E160" s="238"/>
      <c r="L160" s="105"/>
      <c r="M160" s="116"/>
      <c r="N160" s="115"/>
    </row>
    <row r="161" spans="4:14" s="28" customFormat="1" ht="12.75">
      <c r="D161" s="156"/>
      <c r="E161" s="238"/>
      <c r="L161" s="105"/>
      <c r="M161" s="116"/>
      <c r="N161" s="115"/>
    </row>
    <row r="162" spans="4:14" s="28" customFormat="1" ht="12.75">
      <c r="D162" s="156"/>
      <c r="E162" s="238"/>
      <c r="L162" s="105"/>
      <c r="M162" s="116"/>
      <c r="N162" s="115"/>
    </row>
    <row r="163" spans="4:14" s="28" customFormat="1" ht="12.75">
      <c r="D163" s="156"/>
      <c r="E163" s="238"/>
      <c r="L163" s="105"/>
      <c r="M163" s="116"/>
      <c r="N163" s="115"/>
    </row>
    <row r="164" spans="4:14" s="28" customFormat="1" ht="12.75">
      <c r="D164" s="156"/>
      <c r="E164" s="238"/>
      <c r="L164" s="105"/>
      <c r="M164" s="116"/>
      <c r="N164" s="115"/>
    </row>
    <row r="165" spans="4:14" s="28" customFormat="1" ht="12.75">
      <c r="D165" s="156"/>
      <c r="E165" s="238"/>
      <c r="L165" s="105"/>
      <c r="M165" s="116"/>
      <c r="N165" s="115"/>
    </row>
    <row r="166" spans="4:14" s="28" customFormat="1" ht="12.75">
      <c r="D166" s="156"/>
      <c r="E166" s="238"/>
      <c r="L166" s="105"/>
      <c r="M166" s="116"/>
      <c r="N166" s="115"/>
    </row>
    <row r="167" spans="4:14" s="28" customFormat="1" ht="12.75">
      <c r="D167" s="156"/>
      <c r="E167" s="238"/>
      <c r="L167" s="105"/>
      <c r="M167" s="116"/>
      <c r="N167" s="115"/>
    </row>
    <row r="168" spans="4:14" s="28" customFormat="1" ht="12.75">
      <c r="D168" s="156"/>
      <c r="E168" s="238"/>
      <c r="L168" s="105"/>
      <c r="M168" s="116"/>
      <c r="N168" s="115"/>
    </row>
    <row r="169" spans="4:14" s="28" customFormat="1" ht="12.75">
      <c r="D169" s="156"/>
      <c r="E169" s="238"/>
      <c r="L169" s="105"/>
      <c r="M169" s="116"/>
      <c r="N169" s="115"/>
    </row>
    <row r="170" spans="4:14" s="28" customFormat="1" ht="12.75">
      <c r="D170" s="156"/>
      <c r="E170" s="238"/>
      <c r="L170" s="105"/>
      <c r="M170" s="116"/>
      <c r="N170" s="115"/>
    </row>
    <row r="171" spans="4:14" s="28" customFormat="1" ht="12.75">
      <c r="D171" s="156"/>
      <c r="E171" s="238"/>
      <c r="L171" s="105"/>
      <c r="M171" s="116"/>
      <c r="N171" s="115"/>
    </row>
    <row r="172" spans="4:14" s="28" customFormat="1" ht="12.75">
      <c r="D172" s="156"/>
      <c r="E172" s="238"/>
      <c r="L172" s="105"/>
      <c r="M172" s="116"/>
      <c r="N172" s="115"/>
    </row>
    <row r="173" spans="4:14" s="28" customFormat="1" ht="12.75">
      <c r="D173" s="156"/>
      <c r="E173" s="238"/>
      <c r="L173" s="105"/>
      <c r="M173" s="116"/>
      <c r="N173" s="115"/>
    </row>
    <row r="174" spans="4:14" s="28" customFormat="1" ht="12.75">
      <c r="D174" s="156"/>
      <c r="E174" s="238"/>
      <c r="L174" s="105"/>
      <c r="M174" s="116"/>
      <c r="N174" s="115"/>
    </row>
    <row r="175" spans="4:14" s="28" customFormat="1" ht="12.75">
      <c r="D175" s="156"/>
      <c r="E175" s="238"/>
      <c r="L175" s="105"/>
      <c r="M175" s="116"/>
      <c r="N175" s="115"/>
    </row>
    <row r="176" spans="4:14" s="28" customFormat="1" ht="12.75">
      <c r="D176" s="156"/>
      <c r="E176" s="238"/>
      <c r="L176" s="105"/>
      <c r="M176" s="116"/>
      <c r="N176" s="115"/>
    </row>
    <row r="177" spans="4:14" s="28" customFormat="1" ht="12.75">
      <c r="D177" s="156"/>
      <c r="E177" s="238"/>
      <c r="L177" s="105"/>
      <c r="M177" s="116"/>
      <c r="N177" s="115"/>
    </row>
    <row r="178" spans="4:14" s="28" customFormat="1" ht="12.75">
      <c r="D178" s="156"/>
      <c r="E178" s="238"/>
      <c r="L178" s="105"/>
      <c r="M178" s="116"/>
      <c r="N178" s="115"/>
    </row>
    <row r="179" spans="4:14" s="28" customFormat="1" ht="12.75">
      <c r="D179" s="156"/>
      <c r="E179" s="238"/>
      <c r="L179" s="105"/>
      <c r="M179" s="116"/>
      <c r="N179" s="115"/>
    </row>
    <row r="180" spans="4:14" s="28" customFormat="1" ht="12.75">
      <c r="D180" s="156"/>
      <c r="E180" s="238"/>
      <c r="L180" s="105"/>
      <c r="M180" s="116"/>
      <c r="N180" s="115"/>
    </row>
    <row r="181" spans="4:14" s="28" customFormat="1" ht="12.75">
      <c r="D181" s="156"/>
      <c r="E181" s="238"/>
      <c r="L181" s="105"/>
      <c r="M181" s="116"/>
      <c r="N181" s="115"/>
    </row>
    <row r="182" spans="4:14" s="28" customFormat="1" ht="12.75">
      <c r="D182" s="156"/>
      <c r="E182" s="238"/>
      <c r="L182" s="105"/>
      <c r="M182" s="116"/>
      <c r="N182" s="115"/>
    </row>
    <row r="183" spans="4:14" s="28" customFormat="1" ht="12.75">
      <c r="D183" s="156"/>
      <c r="E183" s="238"/>
      <c r="L183" s="105"/>
      <c r="M183" s="116"/>
      <c r="N183" s="115"/>
    </row>
    <row r="184" spans="4:14" s="28" customFormat="1" ht="12.75">
      <c r="D184" s="156"/>
      <c r="E184" s="238"/>
      <c r="L184" s="105"/>
      <c r="M184" s="116"/>
      <c r="N184" s="115"/>
    </row>
    <row r="185" spans="4:14" s="28" customFormat="1" ht="12.75">
      <c r="D185" s="156"/>
      <c r="E185" s="238"/>
      <c r="L185" s="105"/>
      <c r="M185" s="116"/>
      <c r="N185" s="115"/>
    </row>
    <row r="186" spans="4:14" s="28" customFormat="1" ht="12.75">
      <c r="D186" s="156"/>
      <c r="E186" s="238"/>
      <c r="L186" s="105"/>
      <c r="M186" s="116"/>
      <c r="N186" s="115"/>
    </row>
    <row r="187" spans="4:14" s="28" customFormat="1" ht="12.75">
      <c r="D187" s="156"/>
      <c r="E187" s="238"/>
      <c r="L187" s="105"/>
      <c r="M187" s="116"/>
      <c r="N187" s="115"/>
    </row>
    <row r="188" spans="4:14" s="28" customFormat="1" ht="12.75">
      <c r="D188" s="156"/>
      <c r="E188" s="238"/>
      <c r="L188" s="105"/>
      <c r="M188" s="116"/>
      <c r="N188" s="115"/>
    </row>
    <row r="189" spans="4:14" s="28" customFormat="1" ht="12.75">
      <c r="D189" s="156"/>
      <c r="E189" s="238"/>
      <c r="L189" s="105"/>
      <c r="M189" s="116"/>
      <c r="N189" s="115"/>
    </row>
    <row r="190" spans="4:14" s="28" customFormat="1" ht="12.75">
      <c r="D190" s="156"/>
      <c r="E190" s="238"/>
      <c r="L190" s="105"/>
      <c r="M190" s="116"/>
      <c r="N190" s="115"/>
    </row>
    <row r="191" spans="4:14" s="28" customFormat="1" ht="12.75">
      <c r="D191" s="156"/>
      <c r="E191" s="238"/>
      <c r="L191" s="105"/>
      <c r="M191" s="116"/>
      <c r="N191" s="115"/>
    </row>
    <row r="192" spans="4:14" s="28" customFormat="1" ht="12.75">
      <c r="D192" s="156"/>
      <c r="E192" s="238"/>
      <c r="L192" s="105"/>
      <c r="M192" s="116"/>
      <c r="N192" s="115"/>
    </row>
    <row r="193" spans="4:14" s="28" customFormat="1" ht="12.75">
      <c r="D193" s="156"/>
      <c r="E193" s="238"/>
      <c r="L193" s="105"/>
      <c r="M193" s="116"/>
      <c r="N193" s="115"/>
    </row>
    <row r="194" spans="4:14" s="28" customFormat="1" ht="12.75">
      <c r="D194" s="156"/>
      <c r="E194" s="238"/>
      <c r="L194" s="105"/>
      <c r="M194" s="116"/>
      <c r="N194" s="115"/>
    </row>
    <row r="195" spans="4:14" s="28" customFormat="1" ht="12.75">
      <c r="D195" s="156"/>
      <c r="E195" s="238"/>
      <c r="L195" s="105"/>
      <c r="M195" s="116"/>
      <c r="N195" s="115"/>
    </row>
    <row r="196" spans="4:14" s="28" customFormat="1" ht="12.75">
      <c r="D196" s="156"/>
      <c r="E196" s="238"/>
      <c r="L196" s="105"/>
      <c r="M196" s="116"/>
      <c r="N196" s="115"/>
    </row>
    <row r="197" spans="4:14" s="28" customFormat="1" ht="12.75">
      <c r="D197" s="156"/>
      <c r="E197" s="238"/>
      <c r="L197" s="105"/>
      <c r="M197" s="116"/>
      <c r="N197" s="115"/>
    </row>
    <row r="198" spans="4:14" s="28" customFormat="1" ht="12.75">
      <c r="D198" s="156"/>
      <c r="E198" s="238"/>
      <c r="L198" s="105"/>
      <c r="M198" s="116"/>
      <c r="N198" s="115"/>
    </row>
    <row r="199" spans="4:14" s="28" customFormat="1" ht="12.75">
      <c r="D199" s="156"/>
      <c r="E199" s="238"/>
      <c r="L199" s="105"/>
      <c r="M199" s="116"/>
      <c r="N199" s="115"/>
    </row>
    <row r="200" spans="4:14" s="28" customFormat="1" ht="12.75">
      <c r="D200" s="156"/>
      <c r="E200" s="238"/>
      <c r="L200" s="105"/>
      <c r="M200" s="116"/>
      <c r="N200" s="115"/>
    </row>
    <row r="201" spans="4:14" s="28" customFormat="1" ht="12.75">
      <c r="D201" s="156"/>
      <c r="E201" s="238"/>
      <c r="L201" s="105"/>
      <c r="M201" s="116"/>
      <c r="N201" s="115"/>
    </row>
    <row r="202" spans="4:14" s="28" customFormat="1" ht="12.75">
      <c r="D202" s="156"/>
      <c r="E202" s="238"/>
      <c r="L202" s="105"/>
      <c r="M202" s="116"/>
      <c r="N202" s="115"/>
    </row>
    <row r="203" spans="4:14" s="28" customFormat="1" ht="12.75">
      <c r="D203" s="156"/>
      <c r="E203" s="238"/>
      <c r="L203" s="105"/>
      <c r="M203" s="116"/>
      <c r="N203" s="115"/>
    </row>
    <row r="204" spans="4:14" s="28" customFormat="1" ht="12.75">
      <c r="D204" s="156"/>
      <c r="E204" s="238"/>
      <c r="L204" s="105"/>
      <c r="M204" s="116"/>
      <c r="N204" s="115"/>
    </row>
    <row r="205" spans="4:14" s="28" customFormat="1" ht="12.75">
      <c r="D205" s="156"/>
      <c r="E205" s="238"/>
      <c r="L205" s="105"/>
      <c r="M205" s="116"/>
      <c r="N205" s="115"/>
    </row>
    <row r="206" spans="4:14" s="28" customFormat="1" ht="12.75">
      <c r="D206" s="156"/>
      <c r="E206" s="238"/>
      <c r="L206" s="105"/>
      <c r="M206" s="116"/>
      <c r="N206" s="11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89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I43" sqref="I43"/>
    </sheetView>
  </sheetViews>
  <sheetFormatPr defaultColWidth="9.140625" defaultRowHeight="15"/>
  <cols>
    <col min="1" max="1" width="3.421875" style="28" customWidth="1"/>
    <col min="2" max="2" width="20.421875" style="28" customWidth="1"/>
    <col min="3" max="3" width="4.57421875" style="28" customWidth="1"/>
    <col min="4" max="4" width="6.7109375" style="156" customWidth="1"/>
    <col min="5" max="5" width="10.00390625" style="238" customWidth="1"/>
    <col min="6" max="8" width="12.57421875" style="28" customWidth="1"/>
    <col min="9" max="9" width="13.7109375" style="28" customWidth="1"/>
    <col min="10" max="10" width="14.28125" style="28" customWidth="1"/>
    <col min="11" max="11" width="11.7109375" style="28" customWidth="1"/>
    <col min="12" max="12" width="8.8515625" style="105" customWidth="1"/>
    <col min="13" max="13" width="13.7109375" style="116" customWidth="1"/>
    <col min="14" max="14" width="8.421875" style="115" customWidth="1"/>
    <col min="15" max="16384" width="9.140625" style="28" customWidth="1"/>
  </cols>
  <sheetData>
    <row r="2" spans="1:2" ht="12.75">
      <c r="A2" s="278" t="s">
        <v>389</v>
      </c>
      <c r="B2" s="279"/>
    </row>
    <row r="3" ht="11.25" customHeight="1">
      <c r="E3" s="237"/>
    </row>
    <row r="4" spans="1:14" s="297" customFormat="1" ht="37.5" customHeight="1">
      <c r="A4" s="290" t="s">
        <v>292</v>
      </c>
      <c r="B4" s="290" t="s">
        <v>17</v>
      </c>
      <c r="C4" s="290" t="s">
        <v>254</v>
      </c>
      <c r="D4" s="291" t="s">
        <v>290</v>
      </c>
      <c r="E4" s="292" t="s">
        <v>392</v>
      </c>
      <c r="F4" s="293" t="s">
        <v>396</v>
      </c>
      <c r="G4" s="294" t="s">
        <v>397</v>
      </c>
      <c r="H4" s="290" t="s">
        <v>398</v>
      </c>
      <c r="I4" s="293" t="s">
        <v>402</v>
      </c>
      <c r="J4" s="290" t="s">
        <v>400</v>
      </c>
      <c r="K4" s="290" t="s">
        <v>401</v>
      </c>
      <c r="L4" s="295" t="s">
        <v>270</v>
      </c>
      <c r="M4" s="290" t="s">
        <v>280</v>
      </c>
      <c r="N4" s="296"/>
    </row>
    <row r="5" spans="1:13" ht="12.75">
      <c r="A5" s="39" t="s">
        <v>1</v>
      </c>
      <c r="B5" s="35" t="s">
        <v>29</v>
      </c>
      <c r="C5" s="36" t="s">
        <v>31</v>
      </c>
      <c r="D5" s="233">
        <v>1.649</v>
      </c>
      <c r="E5" s="244">
        <f aca="true" t="shared" si="0" ref="E5:E43">D5*5108.84/174</f>
        <v>48.416535402298855</v>
      </c>
      <c r="F5" s="37">
        <f>250.8/168*80</f>
        <v>119.42857142857143</v>
      </c>
      <c r="G5" s="37"/>
      <c r="H5" s="37"/>
      <c r="I5" s="37">
        <f>E5*80*10%/168*80</f>
        <v>184.4439443897099</v>
      </c>
      <c r="J5" s="37"/>
      <c r="K5" s="37">
        <v>250</v>
      </c>
      <c r="L5" s="100" t="s">
        <v>271</v>
      </c>
      <c r="M5" s="118">
        <v>3204010046</v>
      </c>
    </row>
    <row r="6" spans="1:13" ht="12.75">
      <c r="A6" s="39" t="s">
        <v>2</v>
      </c>
      <c r="B6" s="35" t="s">
        <v>33</v>
      </c>
      <c r="C6" s="36" t="s">
        <v>32</v>
      </c>
      <c r="D6" s="233">
        <v>1.585</v>
      </c>
      <c r="E6" s="244">
        <f t="shared" si="0"/>
        <v>46.53742183908046</v>
      </c>
      <c r="F6" s="37">
        <f>159.62/168*80</f>
        <v>76.00952380952381</v>
      </c>
      <c r="G6" s="37"/>
      <c r="H6" s="37"/>
      <c r="I6" s="37">
        <f>E6*80*10%/168*80</f>
        <v>177.28541652983034</v>
      </c>
      <c r="J6" s="37"/>
      <c r="K6" s="37">
        <v>250</v>
      </c>
      <c r="L6" s="100" t="s">
        <v>271</v>
      </c>
      <c r="M6" s="118">
        <v>3204009691</v>
      </c>
    </row>
    <row r="7" spans="1:13" ht="12.75">
      <c r="A7" s="39" t="s">
        <v>3</v>
      </c>
      <c r="B7" s="35" t="s">
        <v>34</v>
      </c>
      <c r="C7" s="36" t="s">
        <v>35</v>
      </c>
      <c r="D7" s="233">
        <v>1.565</v>
      </c>
      <c r="E7" s="244">
        <f t="shared" si="0"/>
        <v>45.950198850574715</v>
      </c>
      <c r="F7" s="37"/>
      <c r="G7" s="37"/>
      <c r="H7" s="37"/>
      <c r="I7" s="37">
        <f>E7*80*10%/168*80</f>
        <v>175.048376573618</v>
      </c>
      <c r="J7" s="37"/>
      <c r="K7" s="37">
        <v>807</v>
      </c>
      <c r="L7" s="100" t="s">
        <v>272</v>
      </c>
      <c r="M7" s="118">
        <v>3220485615</v>
      </c>
    </row>
    <row r="8" spans="1:13" ht="12.75">
      <c r="A8" s="39" t="s">
        <v>4</v>
      </c>
      <c r="B8" s="35" t="s">
        <v>36</v>
      </c>
      <c r="C8" s="36" t="s">
        <v>37</v>
      </c>
      <c r="D8" s="233">
        <v>1.656</v>
      </c>
      <c r="E8" s="244">
        <f t="shared" si="0"/>
        <v>48.62206344827587</v>
      </c>
      <c r="F8" s="37">
        <f>258.67/168*80</f>
        <v>123.17619047619048</v>
      </c>
      <c r="G8" s="37"/>
      <c r="H8" s="37"/>
      <c r="I8" s="37">
        <f>E8*80*10%/168*80</f>
        <v>185.22690837438427</v>
      </c>
      <c r="J8" s="37"/>
      <c r="K8" s="37">
        <v>250</v>
      </c>
      <c r="L8" s="100" t="s">
        <v>271</v>
      </c>
      <c r="M8" s="118">
        <v>3204010214</v>
      </c>
    </row>
    <row r="9" spans="1:13" ht="12.75">
      <c r="A9" s="39" t="s">
        <v>5</v>
      </c>
      <c r="B9" s="35" t="s">
        <v>38</v>
      </c>
      <c r="C9" s="36" t="s">
        <v>39</v>
      </c>
      <c r="D9" s="233">
        <v>1.635</v>
      </c>
      <c r="E9" s="244">
        <f t="shared" si="0"/>
        <v>48.00547931034483</v>
      </c>
      <c r="F9" s="37"/>
      <c r="G9" s="37"/>
      <c r="H9" s="37"/>
      <c r="I9" s="37">
        <f>E9*80*10%/168*80</f>
        <v>182.8780164203613</v>
      </c>
      <c r="J9" s="37"/>
      <c r="K9" s="37"/>
      <c r="L9" s="100" t="s">
        <v>271</v>
      </c>
      <c r="M9" s="118">
        <v>3204010327</v>
      </c>
    </row>
    <row r="10" spans="1:13" ht="12.75">
      <c r="A10" s="39" t="s">
        <v>6</v>
      </c>
      <c r="B10" s="35" t="s">
        <v>40</v>
      </c>
      <c r="C10" s="36" t="s">
        <v>41</v>
      </c>
      <c r="D10" s="233">
        <v>1.425</v>
      </c>
      <c r="E10" s="244">
        <f t="shared" si="0"/>
        <v>41.83963793103449</v>
      </c>
      <c r="F10" s="37"/>
      <c r="G10" s="37"/>
      <c r="H10" s="37"/>
      <c r="I10" s="37"/>
      <c r="J10" s="37">
        <f>D10*5108.84*10%/168*80</f>
        <v>346.6712857142858</v>
      </c>
      <c r="K10" s="37"/>
      <c r="L10" s="100" t="s">
        <v>271</v>
      </c>
      <c r="M10" s="118">
        <v>3204017738</v>
      </c>
    </row>
    <row r="11" spans="1:13" ht="12.75">
      <c r="A11" s="39" t="s">
        <v>7</v>
      </c>
      <c r="B11" s="35" t="s">
        <v>42</v>
      </c>
      <c r="C11" s="36" t="s">
        <v>43</v>
      </c>
      <c r="D11" s="233">
        <v>1.677</v>
      </c>
      <c r="E11" s="244">
        <f t="shared" si="0"/>
        <v>49.2386475862069</v>
      </c>
      <c r="F11" s="37">
        <f>261.95/168*80</f>
        <v>124.73809523809523</v>
      </c>
      <c r="G11" s="37"/>
      <c r="H11" s="37"/>
      <c r="I11" s="37">
        <f aca="true" t="shared" si="1" ref="I11:I17">E11*80*10%/168*80</f>
        <v>187.57580032840724</v>
      </c>
      <c r="J11" s="37"/>
      <c r="K11" s="37"/>
      <c r="L11" s="100" t="s">
        <v>271</v>
      </c>
      <c r="M11" s="118">
        <v>3204010476</v>
      </c>
    </row>
    <row r="12" spans="1:13" ht="12.75">
      <c r="A12" s="39" t="s">
        <v>8</v>
      </c>
      <c r="B12" s="35" t="s">
        <v>44</v>
      </c>
      <c r="C12" s="36" t="s">
        <v>45</v>
      </c>
      <c r="D12" s="233">
        <v>1.464</v>
      </c>
      <c r="E12" s="244">
        <f t="shared" si="0"/>
        <v>42.98472275862069</v>
      </c>
      <c r="F12" s="37">
        <f>225.67/168*80</f>
        <v>107.46190476190476</v>
      </c>
      <c r="G12" s="37">
        <f>E12*12/168*80</f>
        <v>245.6269871921182</v>
      </c>
      <c r="H12" s="37"/>
      <c r="I12" s="37">
        <f t="shared" si="1"/>
        <v>163.75132479474553</v>
      </c>
      <c r="J12" s="37"/>
      <c r="K12" s="37">
        <v>250</v>
      </c>
      <c r="L12" s="100" t="s">
        <v>271</v>
      </c>
      <c r="M12" s="118">
        <v>3204010484</v>
      </c>
    </row>
    <row r="13" spans="1:13" ht="12.75">
      <c r="A13" s="39" t="s">
        <v>9</v>
      </c>
      <c r="B13" s="35" t="s">
        <v>47</v>
      </c>
      <c r="C13" s="36" t="s">
        <v>48</v>
      </c>
      <c r="D13" s="233">
        <v>1.425</v>
      </c>
      <c r="E13" s="244">
        <f t="shared" si="0"/>
        <v>41.83963793103449</v>
      </c>
      <c r="F13" s="37">
        <f>439.32/168*80</f>
        <v>209.2</v>
      </c>
      <c r="G13" s="37"/>
      <c r="H13" s="37"/>
      <c r="I13" s="37">
        <f t="shared" si="1"/>
        <v>159.38909688013138</v>
      </c>
      <c r="J13" s="37"/>
      <c r="K13" s="37"/>
      <c r="L13" s="100" t="s">
        <v>271</v>
      </c>
      <c r="M13" s="118">
        <v>3204016384</v>
      </c>
    </row>
    <row r="14" spans="1:13" ht="12.75">
      <c r="A14" s="39" t="s">
        <v>30</v>
      </c>
      <c r="B14" s="35" t="s">
        <v>248</v>
      </c>
      <c r="C14" s="36" t="s">
        <v>249</v>
      </c>
      <c r="D14" s="233">
        <v>1.324</v>
      </c>
      <c r="E14" s="244">
        <f t="shared" si="0"/>
        <v>38.874161839080465</v>
      </c>
      <c r="F14" s="37">
        <f>198.65/168*80</f>
        <v>94.5952380952381</v>
      </c>
      <c r="G14" s="37"/>
      <c r="H14" s="37"/>
      <c r="I14" s="37">
        <f t="shared" si="1"/>
        <v>148.09204510125895</v>
      </c>
      <c r="J14" s="37"/>
      <c r="K14" s="37">
        <v>600</v>
      </c>
      <c r="L14" s="100" t="s">
        <v>275</v>
      </c>
      <c r="M14" s="118">
        <v>3223040861</v>
      </c>
    </row>
    <row r="15" spans="1:14" s="203" customFormat="1" ht="12.75">
      <c r="A15" s="39" t="s">
        <v>10</v>
      </c>
      <c r="B15" s="273" t="s">
        <v>49</v>
      </c>
      <c r="C15" s="274" t="s">
        <v>50</v>
      </c>
      <c r="D15" s="275">
        <v>1.408</v>
      </c>
      <c r="E15" s="244">
        <f t="shared" si="0"/>
        <v>41.3404983908046</v>
      </c>
      <c r="F15" s="37"/>
      <c r="G15" s="198"/>
      <c r="H15" s="198"/>
      <c r="I15" s="37">
        <f t="shared" si="1"/>
        <v>157.48761291735087</v>
      </c>
      <c r="J15" s="198"/>
      <c r="K15" s="198">
        <v>650</v>
      </c>
      <c r="L15" s="272" t="s">
        <v>271</v>
      </c>
      <c r="M15" s="276">
        <v>3203991914</v>
      </c>
      <c r="N15" s="202"/>
    </row>
    <row r="16" spans="1:13" ht="12.75">
      <c r="A16" s="39" t="s">
        <v>11</v>
      </c>
      <c r="B16" s="35" t="s">
        <v>251</v>
      </c>
      <c r="C16" s="36" t="s">
        <v>53</v>
      </c>
      <c r="D16" s="233">
        <v>1.324</v>
      </c>
      <c r="E16" s="244">
        <f t="shared" si="0"/>
        <v>38.874161839080465</v>
      </c>
      <c r="F16" s="37"/>
      <c r="G16" s="37"/>
      <c r="H16" s="37"/>
      <c r="I16" s="37">
        <f t="shared" si="1"/>
        <v>148.09204510125895</v>
      </c>
      <c r="J16" s="37"/>
      <c r="K16" s="37">
        <v>650</v>
      </c>
      <c r="L16" s="100" t="s">
        <v>274</v>
      </c>
      <c r="M16" s="118">
        <v>3201084947</v>
      </c>
    </row>
    <row r="17" spans="1:13" ht="12.75">
      <c r="A17" s="39" t="s">
        <v>12</v>
      </c>
      <c r="B17" s="35" t="s">
        <v>54</v>
      </c>
      <c r="C17" s="36" t="s">
        <v>55</v>
      </c>
      <c r="D17" s="233">
        <v>1.37</v>
      </c>
      <c r="E17" s="244">
        <f t="shared" si="0"/>
        <v>40.22477471264368</v>
      </c>
      <c r="F17" s="37">
        <f>205.55/168*80</f>
        <v>97.88095238095238</v>
      </c>
      <c r="G17" s="37"/>
      <c r="H17" s="37"/>
      <c r="I17" s="37">
        <f t="shared" si="1"/>
        <v>153.23723700054737</v>
      </c>
      <c r="J17" s="37"/>
      <c r="K17" s="37">
        <v>600</v>
      </c>
      <c r="L17" s="100" t="s">
        <v>271</v>
      </c>
      <c r="M17" s="118">
        <v>3207503041</v>
      </c>
    </row>
    <row r="18" spans="1:13" ht="12.75">
      <c r="A18" s="39" t="s">
        <v>13</v>
      </c>
      <c r="B18" s="35" t="s">
        <v>56</v>
      </c>
      <c r="C18" s="36" t="s">
        <v>57</v>
      </c>
      <c r="D18" s="233">
        <v>1.656</v>
      </c>
      <c r="E18" s="244">
        <f t="shared" si="0"/>
        <v>48.62206344827587</v>
      </c>
      <c r="F18" s="37"/>
      <c r="G18" s="37"/>
      <c r="H18" s="37"/>
      <c r="I18" s="37"/>
      <c r="J18" s="37">
        <f>D18*5108.84*10%/168*80</f>
        <v>402.86852571428574</v>
      </c>
      <c r="K18" s="37"/>
      <c r="L18" s="100" t="s">
        <v>271</v>
      </c>
      <c r="M18" s="118">
        <v>3204074301</v>
      </c>
    </row>
    <row r="19" spans="1:13" ht="12.75">
      <c r="A19" s="39" t="s">
        <v>14</v>
      </c>
      <c r="B19" s="35" t="s">
        <v>246</v>
      </c>
      <c r="C19" s="36" t="s">
        <v>247</v>
      </c>
      <c r="D19" s="233">
        <v>1.348</v>
      </c>
      <c r="E19" s="244">
        <f t="shared" si="0"/>
        <v>39.57882942528736</v>
      </c>
      <c r="F19" s="37"/>
      <c r="G19" s="37"/>
      <c r="H19" s="37"/>
      <c r="I19" s="37">
        <f>E19*80*10%/168*80</f>
        <v>150.77649304871375</v>
      </c>
      <c r="J19" s="37"/>
      <c r="K19" s="37">
        <v>600</v>
      </c>
      <c r="L19" s="100" t="s">
        <v>275</v>
      </c>
      <c r="M19" s="118">
        <v>3221235503</v>
      </c>
    </row>
    <row r="20" spans="1:13" ht="12.75">
      <c r="A20" s="39" t="s">
        <v>15</v>
      </c>
      <c r="B20" s="35" t="s">
        <v>102</v>
      </c>
      <c r="C20" s="36" t="s">
        <v>103</v>
      </c>
      <c r="D20" s="233">
        <v>1.342</v>
      </c>
      <c r="E20" s="244">
        <f t="shared" si="0"/>
        <v>39.40266252873563</v>
      </c>
      <c r="F20" s="37">
        <f>274.38/168*80</f>
        <v>130.65714285714284</v>
      </c>
      <c r="G20" s="37"/>
      <c r="H20" s="37"/>
      <c r="I20" s="37">
        <f>E20*80*10%/168*80</f>
        <v>150.10538106185004</v>
      </c>
      <c r="J20" s="37"/>
      <c r="K20" s="37">
        <v>250</v>
      </c>
      <c r="L20" s="100" t="s">
        <v>275</v>
      </c>
      <c r="M20" s="118">
        <v>3223516627</v>
      </c>
    </row>
    <row r="21" spans="1:13" ht="12.75">
      <c r="A21" s="39" t="s">
        <v>16</v>
      </c>
      <c r="B21" s="35" t="s">
        <v>244</v>
      </c>
      <c r="C21" s="36" t="s">
        <v>245</v>
      </c>
      <c r="D21" s="233">
        <v>1.335</v>
      </c>
      <c r="E21" s="244">
        <f t="shared" si="0"/>
        <v>39.19713448275862</v>
      </c>
      <c r="F21" s="37"/>
      <c r="G21" s="37"/>
      <c r="H21" s="37"/>
      <c r="I21" s="37">
        <f>E21*80*10%/168*80</f>
        <v>149.32241707717571</v>
      </c>
      <c r="J21" s="37">
        <f>233.19/168*80</f>
        <v>111.04285714285714</v>
      </c>
      <c r="K21" s="37">
        <v>830</v>
      </c>
      <c r="L21" s="100" t="s">
        <v>271</v>
      </c>
      <c r="M21" s="118">
        <v>3204141898</v>
      </c>
    </row>
    <row r="22" spans="1:13" ht="12.75">
      <c r="A22" s="39" t="s">
        <v>58</v>
      </c>
      <c r="B22" s="35" t="s">
        <v>252</v>
      </c>
      <c r="C22" s="36" t="s">
        <v>62</v>
      </c>
      <c r="D22" s="233">
        <v>1.322</v>
      </c>
      <c r="E22" s="244">
        <f t="shared" si="0"/>
        <v>38.81543954022989</v>
      </c>
      <c r="F22" s="37"/>
      <c r="G22" s="37"/>
      <c r="H22" s="37"/>
      <c r="I22" s="37"/>
      <c r="J22" s="37">
        <f>D22*5108.84*15%/168*80</f>
        <v>482.4204628571428</v>
      </c>
      <c r="K22" s="37">
        <v>810</v>
      </c>
      <c r="L22" s="100" t="s">
        <v>271</v>
      </c>
      <c r="M22" s="118">
        <v>3209826266</v>
      </c>
    </row>
    <row r="23" spans="1:13" ht="12.75">
      <c r="A23" s="39" t="s">
        <v>61</v>
      </c>
      <c r="B23" s="35" t="s">
        <v>64</v>
      </c>
      <c r="C23" s="36" t="s">
        <v>65</v>
      </c>
      <c r="D23" s="233">
        <v>1.316</v>
      </c>
      <c r="E23" s="244">
        <f t="shared" si="0"/>
        <v>38.63927264367817</v>
      </c>
      <c r="F23" s="37"/>
      <c r="G23" s="37"/>
      <c r="H23" s="37"/>
      <c r="I23" s="37">
        <f aca="true" t="shared" si="2" ref="I23:I42">E23*80*10%/168*80</f>
        <v>147.19722911877398</v>
      </c>
      <c r="J23" s="37"/>
      <c r="K23" s="37">
        <v>600</v>
      </c>
      <c r="L23" s="100" t="s">
        <v>271</v>
      </c>
      <c r="M23" s="118">
        <v>3206487143</v>
      </c>
    </row>
    <row r="24" spans="1:13" ht="12.75">
      <c r="A24" s="39" t="s">
        <v>63</v>
      </c>
      <c r="B24" s="35" t="s">
        <v>67</v>
      </c>
      <c r="C24" s="36" t="s">
        <v>68</v>
      </c>
      <c r="D24" s="233">
        <v>1.316</v>
      </c>
      <c r="E24" s="244">
        <f t="shared" si="0"/>
        <v>38.63927264367817</v>
      </c>
      <c r="F24" s="37"/>
      <c r="G24" s="37"/>
      <c r="H24" s="37"/>
      <c r="I24" s="37">
        <f t="shared" si="2"/>
        <v>147.19722911877398</v>
      </c>
      <c r="J24" s="37">
        <f>D24*5108.84*10%/168*80</f>
        <v>320.1539733333334</v>
      </c>
      <c r="K24" s="37">
        <v>830</v>
      </c>
      <c r="L24" s="100" t="s">
        <v>276</v>
      </c>
      <c r="M24" s="118">
        <v>3251666018</v>
      </c>
    </row>
    <row r="25" spans="1:13" ht="12.75">
      <c r="A25" s="39" t="s">
        <v>66</v>
      </c>
      <c r="B25" s="35" t="s">
        <v>213</v>
      </c>
      <c r="C25" s="36" t="s">
        <v>214</v>
      </c>
      <c r="D25" s="233">
        <v>1.329</v>
      </c>
      <c r="E25" s="244">
        <f t="shared" si="0"/>
        <v>39.0209675862069</v>
      </c>
      <c r="F25" s="37"/>
      <c r="G25" s="37"/>
      <c r="H25" s="37"/>
      <c r="I25" s="37">
        <f t="shared" si="2"/>
        <v>148.651305090312</v>
      </c>
      <c r="J25" s="37">
        <f>D25*5108.84*10%/168*80</f>
        <v>323.3165885714286</v>
      </c>
      <c r="K25" s="37"/>
      <c r="L25" s="100" t="s">
        <v>271</v>
      </c>
      <c r="M25" s="118">
        <v>3207325476</v>
      </c>
    </row>
    <row r="26" spans="1:13" ht="12.75">
      <c r="A26" s="39" t="s">
        <v>69</v>
      </c>
      <c r="B26" s="35" t="s">
        <v>70</v>
      </c>
      <c r="C26" s="36" t="s">
        <v>71</v>
      </c>
      <c r="D26" s="233">
        <v>1.322</v>
      </c>
      <c r="E26" s="244">
        <f t="shared" si="0"/>
        <v>38.81543954022989</v>
      </c>
      <c r="F26" s="37"/>
      <c r="G26" s="37"/>
      <c r="H26" s="37"/>
      <c r="I26" s="37">
        <f t="shared" si="2"/>
        <v>147.86834110563768</v>
      </c>
      <c r="J26" s="37"/>
      <c r="K26" s="37">
        <v>650</v>
      </c>
      <c r="L26" s="100" t="s">
        <v>271</v>
      </c>
      <c r="M26" s="118">
        <v>3209339880</v>
      </c>
    </row>
    <row r="27" spans="1:13" ht="12.75">
      <c r="A27" s="39" t="s">
        <v>72</v>
      </c>
      <c r="B27" s="35" t="s">
        <v>73</v>
      </c>
      <c r="C27" s="36" t="s">
        <v>74</v>
      </c>
      <c r="D27" s="233">
        <v>1.656</v>
      </c>
      <c r="E27" s="244">
        <f t="shared" si="0"/>
        <v>48.62206344827587</v>
      </c>
      <c r="F27" s="37">
        <f>340.35/168*80</f>
        <v>162.07142857142858</v>
      </c>
      <c r="G27" s="37"/>
      <c r="H27" s="37"/>
      <c r="I27" s="37">
        <f t="shared" si="2"/>
        <v>185.22690837438427</v>
      </c>
      <c r="J27" s="37"/>
      <c r="K27" s="37">
        <v>768</v>
      </c>
      <c r="L27" s="100" t="s">
        <v>271</v>
      </c>
      <c r="M27" s="118">
        <v>3204051514</v>
      </c>
    </row>
    <row r="28" spans="1:13" ht="12.75">
      <c r="A28" s="39" t="s">
        <v>75</v>
      </c>
      <c r="B28" s="35" t="s">
        <v>239</v>
      </c>
      <c r="C28" s="36" t="s">
        <v>76</v>
      </c>
      <c r="D28" s="233">
        <v>1.582</v>
      </c>
      <c r="E28" s="244">
        <f t="shared" si="0"/>
        <v>46.4493383908046</v>
      </c>
      <c r="F28" s="37">
        <f>637.28/168*80</f>
        <v>303.46666666666664</v>
      </c>
      <c r="G28" s="37"/>
      <c r="H28" s="37"/>
      <c r="I28" s="37">
        <f t="shared" si="2"/>
        <v>176.9498605363985</v>
      </c>
      <c r="J28" s="37"/>
      <c r="K28" s="37">
        <v>250</v>
      </c>
      <c r="L28" s="100" t="s">
        <v>271</v>
      </c>
      <c r="M28" s="118">
        <v>3204010298</v>
      </c>
    </row>
    <row r="29" spans="1:13" ht="12.75">
      <c r="A29" s="39" t="s">
        <v>77</v>
      </c>
      <c r="B29" s="35" t="s">
        <v>78</v>
      </c>
      <c r="C29" s="36" t="s">
        <v>79</v>
      </c>
      <c r="D29" s="233">
        <v>1.696</v>
      </c>
      <c r="E29" s="244">
        <f t="shared" si="0"/>
        <v>49.79650942528736</v>
      </c>
      <c r="F29" s="37">
        <f>390.4/168*80</f>
        <v>185.90476190476187</v>
      </c>
      <c r="G29" s="37"/>
      <c r="H29" s="37">
        <v>74.25</v>
      </c>
      <c r="I29" s="37">
        <f t="shared" si="2"/>
        <v>189.700988286809</v>
      </c>
      <c r="J29" s="37"/>
      <c r="K29" s="37"/>
      <c r="L29" s="100" t="s">
        <v>271</v>
      </c>
      <c r="M29" s="118">
        <v>3214138674</v>
      </c>
    </row>
    <row r="30" spans="1:13" ht="12.75">
      <c r="A30" s="39" t="s">
        <v>80</v>
      </c>
      <c r="B30" s="35" t="s">
        <v>84</v>
      </c>
      <c r="C30" s="36" t="s">
        <v>85</v>
      </c>
      <c r="D30" s="233">
        <v>1.296</v>
      </c>
      <c r="E30" s="244">
        <f t="shared" si="0"/>
        <v>38.05204965517242</v>
      </c>
      <c r="F30" s="37"/>
      <c r="G30" s="37"/>
      <c r="H30" s="37"/>
      <c r="I30" s="37">
        <f t="shared" si="2"/>
        <v>144.9601891625616</v>
      </c>
      <c r="J30" s="37"/>
      <c r="K30" s="37">
        <v>250</v>
      </c>
      <c r="L30" s="100" t="s">
        <v>276</v>
      </c>
      <c r="M30" s="118">
        <v>3251589993</v>
      </c>
    </row>
    <row r="31" spans="1:13" ht="12.75">
      <c r="A31" s="39" t="s">
        <v>83</v>
      </c>
      <c r="B31" s="35" t="s">
        <v>87</v>
      </c>
      <c r="C31" s="36" t="s">
        <v>88</v>
      </c>
      <c r="D31" s="233">
        <v>1.649</v>
      </c>
      <c r="E31" s="244">
        <f t="shared" si="0"/>
        <v>48.416535402298855</v>
      </c>
      <c r="F31" s="37">
        <f>88.12/168*80</f>
        <v>41.96190476190476</v>
      </c>
      <c r="G31" s="37"/>
      <c r="H31" s="37"/>
      <c r="I31" s="37">
        <f t="shared" si="2"/>
        <v>184.4439443897099</v>
      </c>
      <c r="J31" s="37"/>
      <c r="K31" s="37"/>
      <c r="L31" s="100" t="s">
        <v>274</v>
      </c>
      <c r="M31" s="118">
        <v>3201084963</v>
      </c>
    </row>
    <row r="32" spans="1:13" ht="12.75">
      <c r="A32" s="39" t="s">
        <v>86</v>
      </c>
      <c r="B32" s="35" t="s">
        <v>90</v>
      </c>
      <c r="C32" s="36" t="s">
        <v>91</v>
      </c>
      <c r="D32" s="233">
        <v>1.67</v>
      </c>
      <c r="E32" s="244">
        <f t="shared" si="0"/>
        <v>49.03311954022989</v>
      </c>
      <c r="F32" s="37">
        <f>494.25/168*80</f>
        <v>235.35714285714283</v>
      </c>
      <c r="G32" s="37">
        <f>E32*12/168*80</f>
        <v>280.1892545155993</v>
      </c>
      <c r="H32" s="37">
        <v>222.75</v>
      </c>
      <c r="I32" s="37">
        <f t="shared" si="2"/>
        <v>186.79283634373294</v>
      </c>
      <c r="J32" s="37"/>
      <c r="K32" s="37"/>
      <c r="L32" s="100" t="s">
        <v>271</v>
      </c>
      <c r="M32" s="118">
        <v>3207034652</v>
      </c>
    </row>
    <row r="33" spans="1:13" ht="12.75">
      <c r="A33" s="39" t="s">
        <v>89</v>
      </c>
      <c r="B33" s="35" t="s">
        <v>94</v>
      </c>
      <c r="C33" s="36" t="s">
        <v>95</v>
      </c>
      <c r="D33" s="233">
        <v>1.54</v>
      </c>
      <c r="E33" s="244">
        <f t="shared" si="0"/>
        <v>45.216170114942535</v>
      </c>
      <c r="F33" s="37">
        <f>379.82/168*80</f>
        <v>180.86666666666667</v>
      </c>
      <c r="G33" s="37"/>
      <c r="H33" s="37"/>
      <c r="I33" s="37">
        <f t="shared" si="2"/>
        <v>172.25207662835254</v>
      </c>
      <c r="J33" s="37"/>
      <c r="K33" s="37">
        <v>250</v>
      </c>
      <c r="L33" s="100" t="s">
        <v>271</v>
      </c>
      <c r="M33" s="118">
        <v>3203938809</v>
      </c>
    </row>
    <row r="34" spans="1:13" ht="12.75">
      <c r="A34" s="39" t="s">
        <v>92</v>
      </c>
      <c r="B34" s="35" t="s">
        <v>221</v>
      </c>
      <c r="C34" s="36" t="s">
        <v>222</v>
      </c>
      <c r="D34" s="233">
        <v>1.309</v>
      </c>
      <c r="E34" s="244">
        <f t="shared" si="0"/>
        <v>38.43374459770115</v>
      </c>
      <c r="F34" s="37">
        <f>282.49/168*80</f>
        <v>134.51904761904763</v>
      </c>
      <c r="G34" s="37"/>
      <c r="H34" s="37">
        <v>163.53</v>
      </c>
      <c r="I34" s="37">
        <f t="shared" si="2"/>
        <v>146.41426513409962</v>
      </c>
      <c r="J34" s="37"/>
      <c r="K34" s="37">
        <v>1956</v>
      </c>
      <c r="L34" s="100" t="s">
        <v>276</v>
      </c>
      <c r="M34" s="118">
        <v>3243353856</v>
      </c>
    </row>
    <row r="35" spans="1:13" ht="12.75">
      <c r="A35" s="39" t="s">
        <v>93</v>
      </c>
      <c r="B35" s="35" t="s">
        <v>253</v>
      </c>
      <c r="C35" s="36" t="s">
        <v>97</v>
      </c>
      <c r="D35" s="233">
        <v>1.619</v>
      </c>
      <c r="E35" s="244">
        <f t="shared" si="0"/>
        <v>47.53570091954023</v>
      </c>
      <c r="F35" s="37">
        <f>79.86/168*80</f>
        <v>38.02857142857143</v>
      </c>
      <c r="G35" s="37"/>
      <c r="H35" s="37">
        <v>134.85</v>
      </c>
      <c r="I35" s="37">
        <f t="shared" si="2"/>
        <v>181.08838445539135</v>
      </c>
      <c r="J35" s="37"/>
      <c r="K35" s="37"/>
      <c r="L35" s="100" t="s">
        <v>274</v>
      </c>
      <c r="M35" s="118">
        <v>3201085064</v>
      </c>
    </row>
    <row r="36" spans="1:13" ht="12.75">
      <c r="A36" s="39" t="s">
        <v>96</v>
      </c>
      <c r="B36" s="35" t="s">
        <v>99</v>
      </c>
      <c r="C36" s="36" t="s">
        <v>100</v>
      </c>
      <c r="D36" s="233">
        <v>1.348</v>
      </c>
      <c r="E36" s="244">
        <f t="shared" si="0"/>
        <v>39.57882942528736</v>
      </c>
      <c r="F36" s="37">
        <f>426.66/168*80</f>
        <v>203.17142857142858</v>
      </c>
      <c r="G36" s="37"/>
      <c r="H36" s="37"/>
      <c r="I36" s="37">
        <f t="shared" si="2"/>
        <v>150.77649304871375</v>
      </c>
      <c r="J36" s="37"/>
      <c r="K36" s="37">
        <v>250</v>
      </c>
      <c r="L36" s="100" t="s">
        <v>275</v>
      </c>
      <c r="M36" s="118">
        <v>3238905542</v>
      </c>
    </row>
    <row r="37" spans="1:13" ht="12.75">
      <c r="A37" s="39" t="s">
        <v>98</v>
      </c>
      <c r="B37" s="35" t="s">
        <v>291</v>
      </c>
      <c r="C37" s="36" t="s">
        <v>106</v>
      </c>
      <c r="D37" s="233">
        <v>1.296</v>
      </c>
      <c r="E37" s="244">
        <f t="shared" si="0"/>
        <v>38.05204965517242</v>
      </c>
      <c r="F37" s="37">
        <f>199.77/168*80</f>
        <v>95.12857142857143</v>
      </c>
      <c r="G37" s="37"/>
      <c r="H37" s="37"/>
      <c r="I37" s="37">
        <f t="shared" si="2"/>
        <v>144.9601891625616</v>
      </c>
      <c r="J37" s="37"/>
      <c r="K37" s="37">
        <v>867</v>
      </c>
      <c r="L37" s="100" t="s">
        <v>275</v>
      </c>
      <c r="M37" s="118">
        <v>3223350187</v>
      </c>
    </row>
    <row r="38" spans="1:13" ht="12.75">
      <c r="A38" s="39" t="s">
        <v>101</v>
      </c>
      <c r="B38" s="35" t="s">
        <v>108</v>
      </c>
      <c r="C38" s="36" t="s">
        <v>109</v>
      </c>
      <c r="D38" s="233">
        <v>1.329</v>
      </c>
      <c r="E38" s="244">
        <f t="shared" si="0"/>
        <v>39.0209675862069</v>
      </c>
      <c r="F38" s="37"/>
      <c r="G38" s="37">
        <f>E38*12/168*80</f>
        <v>222.976957635468</v>
      </c>
      <c r="H38" s="37"/>
      <c r="I38" s="37">
        <f t="shared" si="2"/>
        <v>148.651305090312</v>
      </c>
      <c r="J38" s="37"/>
      <c r="K38" s="37">
        <v>987</v>
      </c>
      <c r="L38" s="100" t="s">
        <v>274</v>
      </c>
      <c r="M38" s="118">
        <v>3201113074</v>
      </c>
    </row>
    <row r="39" spans="1:13" ht="12.75">
      <c r="A39" s="39" t="s">
        <v>104</v>
      </c>
      <c r="B39" s="35" t="s">
        <v>111</v>
      </c>
      <c r="C39" s="36" t="s">
        <v>112</v>
      </c>
      <c r="D39" s="233">
        <v>1.663</v>
      </c>
      <c r="E39" s="244">
        <f t="shared" si="0"/>
        <v>48.82759149425288</v>
      </c>
      <c r="F39" s="37">
        <f>355.46/168*80</f>
        <v>169.26666666666665</v>
      </c>
      <c r="G39" s="37"/>
      <c r="H39" s="37"/>
      <c r="I39" s="37">
        <f t="shared" si="2"/>
        <v>186.00987235905862</v>
      </c>
      <c r="J39" s="37"/>
      <c r="K39" s="37">
        <v>250</v>
      </c>
      <c r="L39" s="100" t="s">
        <v>271</v>
      </c>
      <c r="M39" s="118">
        <v>3204010417</v>
      </c>
    </row>
    <row r="40" spans="1:13" ht="12.75">
      <c r="A40" s="39" t="s">
        <v>107</v>
      </c>
      <c r="B40" s="35" t="s">
        <v>114</v>
      </c>
      <c r="C40" s="36" t="s">
        <v>115</v>
      </c>
      <c r="D40" s="233">
        <v>1.566</v>
      </c>
      <c r="E40" s="244">
        <f t="shared" si="0"/>
        <v>45.979560000000006</v>
      </c>
      <c r="F40" s="37">
        <f>307.6/168*80</f>
        <v>146.47619047619048</v>
      </c>
      <c r="G40" s="37"/>
      <c r="H40" s="37"/>
      <c r="I40" s="37">
        <f t="shared" si="2"/>
        <v>175.1602285714286</v>
      </c>
      <c r="J40" s="37"/>
      <c r="K40" s="37"/>
      <c r="L40" s="100" t="s">
        <v>271</v>
      </c>
      <c r="M40" s="118">
        <v>3204021743</v>
      </c>
    </row>
    <row r="41" spans="1:13" ht="12.75">
      <c r="A41" s="39" t="s">
        <v>110</v>
      </c>
      <c r="B41" s="35" t="s">
        <v>117</v>
      </c>
      <c r="C41" s="36" t="s">
        <v>118</v>
      </c>
      <c r="D41" s="233">
        <v>1.585</v>
      </c>
      <c r="E41" s="244">
        <f t="shared" si="0"/>
        <v>46.53742183908046</v>
      </c>
      <c r="F41" s="37">
        <f>364.85/168*80</f>
        <v>173.73809523809524</v>
      </c>
      <c r="G41" s="37"/>
      <c r="H41" s="37">
        <v>528.09</v>
      </c>
      <c r="I41" s="37">
        <f t="shared" si="2"/>
        <v>177.28541652983034</v>
      </c>
      <c r="J41" s="37"/>
      <c r="K41" s="37">
        <v>1316</v>
      </c>
      <c r="L41" s="100" t="s">
        <v>274</v>
      </c>
      <c r="M41" s="118">
        <v>3201085072</v>
      </c>
    </row>
    <row r="42" spans="1:13" ht="12.75">
      <c r="A42" s="39" t="s">
        <v>113</v>
      </c>
      <c r="B42" s="35" t="s">
        <v>120</v>
      </c>
      <c r="C42" s="36" t="s">
        <v>121</v>
      </c>
      <c r="D42" s="233">
        <v>1.316</v>
      </c>
      <c r="E42" s="244">
        <f t="shared" si="0"/>
        <v>38.63927264367817</v>
      </c>
      <c r="F42" s="37">
        <f>173.1/168*80</f>
        <v>82.42857142857142</v>
      </c>
      <c r="G42" s="37"/>
      <c r="H42" s="37">
        <v>112.02</v>
      </c>
      <c r="I42" s="37">
        <f t="shared" si="2"/>
        <v>147.19722911877398</v>
      </c>
      <c r="J42" s="37"/>
      <c r="K42" s="37">
        <v>250</v>
      </c>
      <c r="L42" s="100" t="s">
        <v>271</v>
      </c>
      <c r="M42" s="118">
        <v>3201227584</v>
      </c>
    </row>
    <row r="43" spans="1:13" ht="12.75">
      <c r="A43" s="39" t="s">
        <v>116</v>
      </c>
      <c r="B43" s="35" t="s">
        <v>123</v>
      </c>
      <c r="C43" s="36" t="s">
        <v>124</v>
      </c>
      <c r="D43" s="233">
        <v>0.781</v>
      </c>
      <c r="E43" s="244">
        <f t="shared" si="0"/>
        <v>22.931057701149427</v>
      </c>
      <c r="F43" s="37">
        <f>69.72/168*80</f>
        <v>33.199999999999996</v>
      </c>
      <c r="G43" s="37"/>
      <c r="H43" s="37"/>
      <c r="I43" s="37">
        <f>E43*70*10%/168*80</f>
        <v>76.43685900383143</v>
      </c>
      <c r="J43" s="37"/>
      <c r="K43" s="37"/>
      <c r="L43" s="100" t="s">
        <v>271</v>
      </c>
      <c r="M43" s="118">
        <v>3213573925</v>
      </c>
    </row>
    <row r="44" spans="1:13" ht="12.75">
      <c r="A44" s="39" t="s">
        <v>119</v>
      </c>
      <c r="B44" s="35" t="s">
        <v>126</v>
      </c>
      <c r="C44" s="36" t="s">
        <v>127</v>
      </c>
      <c r="D44" s="233">
        <v>1.642</v>
      </c>
      <c r="E44" s="244">
        <f aca="true" t="shared" si="3" ref="E44:E87">D44*5108.84/174</f>
        <v>48.21100735632184</v>
      </c>
      <c r="F44" s="37">
        <f>537.66/168*80</f>
        <v>256.0285714285714</v>
      </c>
      <c r="G44" s="37">
        <f>E44*6/168*80</f>
        <v>137.7457353037767</v>
      </c>
      <c r="H44" s="37"/>
      <c r="I44" s="37">
        <f>E44*80*10%/168*80</f>
        <v>183.6609804050356</v>
      </c>
      <c r="J44" s="37"/>
      <c r="K44" s="37">
        <v>250</v>
      </c>
      <c r="L44" s="100" t="s">
        <v>271</v>
      </c>
      <c r="M44" s="118">
        <v>3206953335</v>
      </c>
    </row>
    <row r="45" spans="1:13" ht="12.75">
      <c r="A45" s="39" t="s">
        <v>122</v>
      </c>
      <c r="B45" s="35" t="s">
        <v>129</v>
      </c>
      <c r="C45" s="36" t="s">
        <v>130</v>
      </c>
      <c r="D45" s="233">
        <v>1.89</v>
      </c>
      <c r="E45" s="244">
        <f t="shared" si="3"/>
        <v>55.4925724137931</v>
      </c>
      <c r="F45" s="37">
        <f>598.21/168*80</f>
        <v>284.8619047619048</v>
      </c>
      <c r="G45" s="37">
        <f>E45*15/168*80</f>
        <v>396.37551724137927</v>
      </c>
      <c r="H45" s="37"/>
      <c r="I45" s="37">
        <f>E45*80*10%/168*80</f>
        <v>211.40027586206895</v>
      </c>
      <c r="J45" s="37"/>
      <c r="K45" s="37">
        <v>250</v>
      </c>
      <c r="L45" s="100" t="s">
        <v>274</v>
      </c>
      <c r="M45" s="118">
        <v>3201085013</v>
      </c>
    </row>
    <row r="46" spans="1:13" ht="12.75">
      <c r="A46" s="39" t="s">
        <v>125</v>
      </c>
      <c r="B46" s="35" t="s">
        <v>250</v>
      </c>
      <c r="C46" s="36" t="s">
        <v>46</v>
      </c>
      <c r="D46" s="233">
        <v>1.505</v>
      </c>
      <c r="E46" s="244">
        <f t="shared" si="3"/>
        <v>44.18852988505747</v>
      </c>
      <c r="F46" s="37"/>
      <c r="G46" s="37"/>
      <c r="H46" s="37"/>
      <c r="I46" s="37">
        <f>E46*80*10%/168*80</f>
        <v>168.33725670498086</v>
      </c>
      <c r="J46" s="37"/>
      <c r="K46" s="37">
        <v>600</v>
      </c>
      <c r="L46" s="100" t="s">
        <v>271</v>
      </c>
      <c r="M46" s="118">
        <v>3204035547</v>
      </c>
    </row>
    <row r="47" spans="1:13" ht="12.75">
      <c r="A47" s="39" t="s">
        <v>128</v>
      </c>
      <c r="B47" s="35" t="s">
        <v>132</v>
      </c>
      <c r="C47" s="36" t="s">
        <v>133</v>
      </c>
      <c r="D47" s="233">
        <v>1.568</v>
      </c>
      <c r="E47" s="244">
        <f t="shared" si="3"/>
        <v>46.038282298850575</v>
      </c>
      <c r="F47" s="37"/>
      <c r="G47" s="37"/>
      <c r="H47" s="37"/>
      <c r="I47" s="37">
        <f>E47*80*10%/168*80</f>
        <v>175.3839325670498</v>
      </c>
      <c r="J47" s="37"/>
      <c r="K47" s="37">
        <v>810</v>
      </c>
      <c r="L47" s="100" t="s">
        <v>271</v>
      </c>
      <c r="M47" s="118">
        <v>3204010409</v>
      </c>
    </row>
    <row r="48" spans="1:13" ht="12.75">
      <c r="A48" s="39" t="s">
        <v>131</v>
      </c>
      <c r="B48" s="35" t="s">
        <v>135</v>
      </c>
      <c r="C48" s="36" t="s">
        <v>136</v>
      </c>
      <c r="D48" s="233">
        <v>1.415</v>
      </c>
      <c r="E48" s="244">
        <f t="shared" si="3"/>
        <v>41.54602643678161</v>
      </c>
      <c r="F48" s="37">
        <f>127.33/168*80</f>
        <v>60.63333333333333</v>
      </c>
      <c r="G48" s="37"/>
      <c r="H48" s="37"/>
      <c r="I48" s="37">
        <f>E48*80*10%/168*80</f>
        <v>158.27057690202517</v>
      </c>
      <c r="J48" s="37"/>
      <c r="K48" s="37">
        <v>250</v>
      </c>
      <c r="L48" s="100" t="s">
        <v>271</v>
      </c>
      <c r="M48" s="118">
        <v>3206725631</v>
      </c>
    </row>
    <row r="49" spans="1:14" s="297" customFormat="1" ht="37.5" customHeight="1">
      <c r="A49" s="290" t="s">
        <v>292</v>
      </c>
      <c r="B49" s="290" t="s">
        <v>17</v>
      </c>
      <c r="C49" s="290" t="s">
        <v>254</v>
      </c>
      <c r="D49" s="291" t="s">
        <v>290</v>
      </c>
      <c r="E49" s="292" t="s">
        <v>392</v>
      </c>
      <c r="F49" s="293" t="s">
        <v>396</v>
      </c>
      <c r="G49" s="294" t="s">
        <v>397</v>
      </c>
      <c r="H49" s="290" t="s">
        <v>398</v>
      </c>
      <c r="I49" s="293" t="s">
        <v>399</v>
      </c>
      <c r="J49" s="290" t="s">
        <v>400</v>
      </c>
      <c r="K49" s="290" t="s">
        <v>401</v>
      </c>
      <c r="L49" s="295" t="s">
        <v>270</v>
      </c>
      <c r="M49" s="290" t="s">
        <v>280</v>
      </c>
      <c r="N49" s="296"/>
    </row>
    <row r="50" spans="1:13" ht="12.75">
      <c r="A50" s="39" t="s">
        <v>134</v>
      </c>
      <c r="B50" s="35" t="s">
        <v>148</v>
      </c>
      <c r="C50" s="36" t="s">
        <v>149</v>
      </c>
      <c r="D50" s="233">
        <v>1.335</v>
      </c>
      <c r="E50" s="244">
        <f t="shared" si="3"/>
        <v>39.19713448275862</v>
      </c>
      <c r="F50" s="37">
        <f>120.73/168*80</f>
        <v>57.490476190476194</v>
      </c>
      <c r="G50" s="37"/>
      <c r="H50" s="37">
        <v>115.5</v>
      </c>
      <c r="I50" s="37">
        <f>E50*80*10%/168*80</f>
        <v>149.32241707717571</v>
      </c>
      <c r="J50" s="37"/>
      <c r="K50" s="37">
        <v>877</v>
      </c>
      <c r="L50" s="100" t="s">
        <v>277</v>
      </c>
      <c r="M50" s="118">
        <v>3206045226</v>
      </c>
    </row>
    <row r="51" spans="1:13" ht="12.75">
      <c r="A51" s="39" t="s">
        <v>137</v>
      </c>
      <c r="B51" s="35" t="s">
        <v>216</v>
      </c>
      <c r="C51" s="36" t="s">
        <v>217</v>
      </c>
      <c r="D51" s="233">
        <v>1.335</v>
      </c>
      <c r="E51" s="244">
        <f t="shared" si="3"/>
        <v>39.19713448275862</v>
      </c>
      <c r="F51" s="37">
        <f>263.4/168*80</f>
        <v>125.42857142857142</v>
      </c>
      <c r="G51" s="37"/>
      <c r="H51" s="37"/>
      <c r="I51" s="37">
        <f>E51*80*10%/168*80</f>
        <v>149.32241707717571</v>
      </c>
      <c r="J51" s="37"/>
      <c r="K51" s="37">
        <v>250</v>
      </c>
      <c r="L51" s="100" t="s">
        <v>275</v>
      </c>
      <c r="M51" s="118">
        <v>3220513030</v>
      </c>
    </row>
    <row r="52" spans="1:13" ht="12.75">
      <c r="A52" s="39" t="s">
        <v>140</v>
      </c>
      <c r="B52" s="35" t="s">
        <v>138</v>
      </c>
      <c r="C52" s="36" t="s">
        <v>139</v>
      </c>
      <c r="D52" s="233">
        <v>1.547</v>
      </c>
      <c r="E52" s="244">
        <f t="shared" si="3"/>
        <v>45.42169816091954</v>
      </c>
      <c r="F52" s="37"/>
      <c r="G52" s="37"/>
      <c r="H52" s="37">
        <v>67.43</v>
      </c>
      <c r="I52" s="37">
        <f>E52*80*10%/168*80</f>
        <v>173.0350406130268</v>
      </c>
      <c r="J52" s="37"/>
      <c r="K52" s="37">
        <v>250</v>
      </c>
      <c r="L52" s="100" t="s">
        <v>271</v>
      </c>
      <c r="M52" s="118">
        <v>3204015058</v>
      </c>
    </row>
    <row r="53" spans="1:14" s="203" customFormat="1" ht="12.75">
      <c r="A53" s="39" t="s">
        <v>143</v>
      </c>
      <c r="B53" s="273" t="s">
        <v>296</v>
      </c>
      <c r="C53" s="274" t="s">
        <v>142</v>
      </c>
      <c r="D53" s="275">
        <v>1.376</v>
      </c>
      <c r="E53" s="244">
        <f t="shared" si="3"/>
        <v>40.4009416091954</v>
      </c>
      <c r="F53" s="198"/>
      <c r="G53" s="198"/>
      <c r="H53" s="198"/>
      <c r="I53" s="37"/>
      <c r="J53" s="198"/>
      <c r="K53" s="198"/>
      <c r="L53" s="272" t="s">
        <v>271</v>
      </c>
      <c r="M53" s="276">
        <v>3202927758</v>
      </c>
      <c r="N53" s="202"/>
    </row>
    <row r="54" spans="1:13" ht="12.75">
      <c r="A54" s="39" t="s">
        <v>144</v>
      </c>
      <c r="B54" s="35" t="s">
        <v>145</v>
      </c>
      <c r="C54" s="36" t="s">
        <v>146</v>
      </c>
      <c r="D54" s="233">
        <v>1.561</v>
      </c>
      <c r="E54" s="244">
        <f t="shared" si="3"/>
        <v>45.83275425287356</v>
      </c>
      <c r="F54" s="37"/>
      <c r="G54" s="37"/>
      <c r="H54" s="37">
        <v>1169.1</v>
      </c>
      <c r="I54" s="37">
        <f aca="true" t="shared" si="4" ref="I54:I60">E54*80*10%/168*80</f>
        <v>174.60096858237551</v>
      </c>
      <c r="J54" s="37"/>
      <c r="K54" s="37">
        <v>250</v>
      </c>
      <c r="L54" s="100" t="s">
        <v>271</v>
      </c>
      <c r="M54" s="118">
        <v>3203992312</v>
      </c>
    </row>
    <row r="55" spans="1:13" ht="12.75">
      <c r="A55" s="39" t="s">
        <v>147</v>
      </c>
      <c r="B55" s="35" t="s">
        <v>240</v>
      </c>
      <c r="C55" s="36" t="s">
        <v>241</v>
      </c>
      <c r="D55" s="233">
        <v>1.06</v>
      </c>
      <c r="E55" s="244">
        <f t="shared" si="3"/>
        <v>31.122818390804603</v>
      </c>
      <c r="F55" s="37">
        <f>244/168*80</f>
        <v>116.19047619047619</v>
      </c>
      <c r="G55" s="37"/>
      <c r="H55" s="37"/>
      <c r="I55" s="37">
        <f t="shared" si="4"/>
        <v>118.56311767925564</v>
      </c>
      <c r="J55" s="37"/>
      <c r="K55" s="37">
        <v>752</v>
      </c>
      <c r="L55" s="100" t="s">
        <v>271</v>
      </c>
      <c r="M55" s="118">
        <v>3205778577</v>
      </c>
    </row>
    <row r="56" spans="1:13" ht="12.75">
      <c r="A56" s="39" t="s">
        <v>150</v>
      </c>
      <c r="B56" s="35" t="s">
        <v>151</v>
      </c>
      <c r="C56" s="36" t="s">
        <v>152</v>
      </c>
      <c r="D56" s="233">
        <v>1.335</v>
      </c>
      <c r="E56" s="244">
        <f t="shared" si="3"/>
        <v>39.19713448275862</v>
      </c>
      <c r="F56" s="37"/>
      <c r="G56" s="37"/>
      <c r="H56" s="37"/>
      <c r="I56" s="37"/>
      <c r="J56" s="37"/>
      <c r="K56" s="37"/>
      <c r="L56" s="100" t="s">
        <v>273</v>
      </c>
      <c r="M56" s="118">
        <v>3234063231</v>
      </c>
    </row>
    <row r="57" spans="1:13" ht="12.75">
      <c r="A57" s="39" t="s">
        <v>153</v>
      </c>
      <c r="B57" s="35" t="s">
        <v>81</v>
      </c>
      <c r="C57" s="36" t="s">
        <v>82</v>
      </c>
      <c r="D57" s="233">
        <v>1.685</v>
      </c>
      <c r="E57" s="244">
        <f t="shared" si="3"/>
        <v>49.473536781609205</v>
      </c>
      <c r="F57" s="37"/>
      <c r="G57" s="37"/>
      <c r="H57" s="37"/>
      <c r="I57" s="37">
        <f t="shared" si="4"/>
        <v>188.4706163108922</v>
      </c>
      <c r="J57" s="37"/>
      <c r="K57" s="37"/>
      <c r="L57" s="100" t="s">
        <v>274</v>
      </c>
      <c r="M57" s="118">
        <v>3201085021</v>
      </c>
    </row>
    <row r="58" spans="1:13" ht="12.75">
      <c r="A58" s="39" t="s">
        <v>156</v>
      </c>
      <c r="B58" s="35" t="s">
        <v>51</v>
      </c>
      <c r="C58" s="36" t="s">
        <v>52</v>
      </c>
      <c r="D58" s="233">
        <v>1.505</v>
      </c>
      <c r="E58" s="244">
        <f t="shared" si="3"/>
        <v>44.18852988505747</v>
      </c>
      <c r="F58" s="37"/>
      <c r="G58" s="37"/>
      <c r="H58" s="37"/>
      <c r="I58" s="37">
        <f t="shared" si="4"/>
        <v>168.33725670498086</v>
      </c>
      <c r="J58" s="37"/>
      <c r="K58" s="37">
        <v>650</v>
      </c>
      <c r="L58" s="100" t="s">
        <v>273</v>
      </c>
      <c r="M58" s="118">
        <v>3226742777</v>
      </c>
    </row>
    <row r="59" spans="1:13" ht="12.75">
      <c r="A59" s="39" t="s">
        <v>157</v>
      </c>
      <c r="B59" s="35" t="s">
        <v>210</v>
      </c>
      <c r="C59" s="36" t="s">
        <v>211</v>
      </c>
      <c r="D59" s="233">
        <v>1.395</v>
      </c>
      <c r="E59" s="244">
        <f t="shared" si="3"/>
        <v>40.95880344827586</v>
      </c>
      <c r="F59" s="37">
        <f>160.56/168*80</f>
        <v>76.45714285714286</v>
      </c>
      <c r="G59" s="37"/>
      <c r="H59" s="37"/>
      <c r="I59" s="37">
        <f t="shared" si="4"/>
        <v>156.03353694581278</v>
      </c>
      <c r="J59" s="37"/>
      <c r="K59" s="37">
        <v>250</v>
      </c>
      <c r="L59" s="100" t="s">
        <v>276</v>
      </c>
      <c r="M59" s="118">
        <v>3242020709</v>
      </c>
    </row>
    <row r="60" spans="1:13" ht="12.75">
      <c r="A60" s="39" t="s">
        <v>160</v>
      </c>
      <c r="B60" s="35" t="s">
        <v>154</v>
      </c>
      <c r="C60" s="36" t="s">
        <v>155</v>
      </c>
      <c r="D60" s="233">
        <v>1.376</v>
      </c>
      <c r="E60" s="244">
        <f t="shared" si="3"/>
        <v>40.4009416091954</v>
      </c>
      <c r="F60" s="37">
        <f>361.99/168*80</f>
        <v>172.3761904761905</v>
      </c>
      <c r="G60" s="37"/>
      <c r="H60" s="37"/>
      <c r="I60" s="37">
        <f t="shared" si="4"/>
        <v>153.90834898741105</v>
      </c>
      <c r="J60" s="37"/>
      <c r="K60" s="37">
        <v>810</v>
      </c>
      <c r="L60" s="100" t="s">
        <v>271</v>
      </c>
      <c r="M60" s="118">
        <v>3204198345</v>
      </c>
    </row>
    <row r="61" spans="1:13" ht="12.75">
      <c r="A61" s="39" t="s">
        <v>161</v>
      </c>
      <c r="B61" s="35" t="s">
        <v>269</v>
      </c>
      <c r="C61" s="36" t="s">
        <v>281</v>
      </c>
      <c r="D61" s="233">
        <v>1.421</v>
      </c>
      <c r="E61" s="244">
        <f t="shared" si="3"/>
        <v>41.72219333333334</v>
      </c>
      <c r="F61" s="37"/>
      <c r="G61" s="37"/>
      <c r="H61" s="37"/>
      <c r="I61" s="37">
        <f>E61*80*10%/168*80</f>
        <v>158.9416888888889</v>
      </c>
      <c r="J61" s="37"/>
      <c r="K61" s="37">
        <v>810</v>
      </c>
      <c r="L61" s="100" t="s">
        <v>271</v>
      </c>
      <c r="M61" s="118">
        <v>3204133135</v>
      </c>
    </row>
    <row r="62" spans="1:13" ht="12.75">
      <c r="A62" s="39" t="s">
        <v>164</v>
      </c>
      <c r="B62" s="35" t="s">
        <v>158</v>
      </c>
      <c r="C62" s="36" t="s">
        <v>159</v>
      </c>
      <c r="D62" s="233">
        <v>1.481</v>
      </c>
      <c r="E62" s="244">
        <f t="shared" si="3"/>
        <v>43.48386229885058</v>
      </c>
      <c r="F62" s="37"/>
      <c r="G62" s="37"/>
      <c r="H62" s="37"/>
      <c r="I62" s="37">
        <f>E62*80*10%/168*80</f>
        <v>165.65280875752603</v>
      </c>
      <c r="J62" s="37"/>
      <c r="K62" s="37">
        <v>810</v>
      </c>
      <c r="L62" s="100" t="s">
        <v>273</v>
      </c>
      <c r="M62" s="118">
        <v>3234621398</v>
      </c>
    </row>
    <row r="63" spans="1:13" ht="12.75">
      <c r="A63" s="39" t="s">
        <v>167</v>
      </c>
      <c r="B63" s="35" t="s">
        <v>162</v>
      </c>
      <c r="C63" s="36" t="s">
        <v>163</v>
      </c>
      <c r="D63" s="233">
        <v>1.309</v>
      </c>
      <c r="E63" s="244">
        <f t="shared" si="3"/>
        <v>38.43374459770115</v>
      </c>
      <c r="F63" s="37"/>
      <c r="G63" s="37"/>
      <c r="H63" s="37"/>
      <c r="I63" s="37">
        <f>E63*32*10%/168*80</f>
        <v>58.56570605363985</v>
      </c>
      <c r="J63" s="37"/>
      <c r="K63" s="37">
        <v>600</v>
      </c>
      <c r="L63" s="100" t="s">
        <v>271</v>
      </c>
      <c r="M63" s="118">
        <v>3204240808</v>
      </c>
    </row>
    <row r="64" spans="1:13" ht="12.75">
      <c r="A64" s="39" t="s">
        <v>170</v>
      </c>
      <c r="B64" s="35" t="s">
        <v>232</v>
      </c>
      <c r="C64" s="36" t="s">
        <v>233</v>
      </c>
      <c r="D64" s="233">
        <v>1.568</v>
      </c>
      <c r="E64" s="244">
        <f t="shared" si="3"/>
        <v>46.038282298850575</v>
      </c>
      <c r="F64" s="37"/>
      <c r="G64" s="37"/>
      <c r="H64" s="37"/>
      <c r="I64" s="37"/>
      <c r="J64" s="37"/>
      <c r="K64" s="37">
        <v>250</v>
      </c>
      <c r="L64" s="100" t="s">
        <v>271</v>
      </c>
      <c r="M64" s="118">
        <v>3203978191</v>
      </c>
    </row>
    <row r="65" spans="1:13" ht="12.75">
      <c r="A65" s="39" t="s">
        <v>173</v>
      </c>
      <c r="B65" s="35" t="s">
        <v>165</v>
      </c>
      <c r="C65" s="36" t="s">
        <v>166</v>
      </c>
      <c r="D65" s="233">
        <v>1.547</v>
      </c>
      <c r="E65" s="244">
        <f t="shared" si="3"/>
        <v>45.42169816091954</v>
      </c>
      <c r="F65" s="37"/>
      <c r="G65" s="37"/>
      <c r="H65" s="37"/>
      <c r="I65" s="37">
        <f>E65*16*10%/168*80</f>
        <v>34.607008122605365</v>
      </c>
      <c r="J65" s="37"/>
      <c r="K65" s="37"/>
      <c r="L65" s="100" t="s">
        <v>271</v>
      </c>
      <c r="M65" s="118">
        <v>3204197043</v>
      </c>
    </row>
    <row r="66" spans="1:13" ht="12.75">
      <c r="A66" s="39" t="s">
        <v>176</v>
      </c>
      <c r="B66" s="35" t="s">
        <v>168</v>
      </c>
      <c r="C66" s="36" t="s">
        <v>169</v>
      </c>
      <c r="D66" s="233">
        <v>1.408</v>
      </c>
      <c r="E66" s="244">
        <f t="shared" si="3"/>
        <v>41.3404983908046</v>
      </c>
      <c r="F66" s="37"/>
      <c r="G66" s="37"/>
      <c r="H66" s="37"/>
      <c r="I66" s="37">
        <f>E66*16*10%/168*80</f>
        <v>31.497522583470175</v>
      </c>
      <c r="J66" s="37"/>
      <c r="K66" s="37">
        <v>768</v>
      </c>
      <c r="L66" s="100" t="s">
        <v>271</v>
      </c>
      <c r="M66" s="118">
        <v>3204079515</v>
      </c>
    </row>
    <row r="67" spans="1:13" ht="12.75">
      <c r="A67" s="39" t="s">
        <v>179</v>
      </c>
      <c r="B67" s="35" t="s">
        <v>171</v>
      </c>
      <c r="C67" s="36" t="s">
        <v>172</v>
      </c>
      <c r="D67" s="233">
        <v>1.322</v>
      </c>
      <c r="E67" s="244">
        <f t="shared" si="3"/>
        <v>38.81543954022989</v>
      </c>
      <c r="F67" s="37"/>
      <c r="G67" s="37">
        <f>E67*18/168*80</f>
        <v>332.7037674876848</v>
      </c>
      <c r="H67" s="37"/>
      <c r="I67" s="37">
        <f>E67*70*10%/168*80</f>
        <v>129.38479846743297</v>
      </c>
      <c r="J67" s="37"/>
      <c r="K67" s="37">
        <v>650</v>
      </c>
      <c r="L67" s="100" t="s">
        <v>271</v>
      </c>
      <c r="M67" s="118">
        <v>3209023009</v>
      </c>
    </row>
    <row r="68" spans="1:13" ht="12.75">
      <c r="A68" s="39" t="s">
        <v>182</v>
      </c>
      <c r="B68" s="35" t="s">
        <v>174</v>
      </c>
      <c r="C68" s="36" t="s">
        <v>175</v>
      </c>
      <c r="D68" s="233">
        <v>1.054</v>
      </c>
      <c r="E68" s="244">
        <f t="shared" si="3"/>
        <v>30.946651494252876</v>
      </c>
      <c r="F68" s="37"/>
      <c r="G68" s="37"/>
      <c r="H68" s="37"/>
      <c r="I68" s="37">
        <f>E68*80*10%/168*80</f>
        <v>117.8920056923919</v>
      </c>
      <c r="J68" s="37"/>
      <c r="K68" s="37"/>
      <c r="L68" s="100" t="s">
        <v>271</v>
      </c>
      <c r="M68" s="118">
        <v>3204010100</v>
      </c>
    </row>
    <row r="69" spans="1:13" ht="12.75">
      <c r="A69" s="39" t="s">
        <v>185</v>
      </c>
      <c r="B69" s="35" t="s">
        <v>180</v>
      </c>
      <c r="C69" s="36" t="s">
        <v>181</v>
      </c>
      <c r="D69" s="233">
        <v>0.688</v>
      </c>
      <c r="E69" s="244">
        <f t="shared" si="3"/>
        <v>20.2004708045977</v>
      </c>
      <c r="F69" s="37"/>
      <c r="G69" s="37"/>
      <c r="H69" s="37"/>
      <c r="I69" s="37">
        <f>E69*80*10%/168*80</f>
        <v>76.95417449370552</v>
      </c>
      <c r="J69" s="37"/>
      <c r="K69" s="37">
        <v>250</v>
      </c>
      <c r="L69" s="100" t="s">
        <v>271</v>
      </c>
      <c r="M69" s="118">
        <v>3204016235</v>
      </c>
    </row>
    <row r="70" spans="1:13" ht="12.75">
      <c r="A70" s="39" t="s">
        <v>188</v>
      </c>
      <c r="B70" s="35" t="s">
        <v>183</v>
      </c>
      <c r="C70" s="36" t="s">
        <v>184</v>
      </c>
      <c r="D70" s="233">
        <v>0.182</v>
      </c>
      <c r="E70" s="244">
        <f t="shared" si="3"/>
        <v>5.343729195402299</v>
      </c>
      <c r="F70" s="37"/>
      <c r="G70" s="37"/>
      <c r="H70" s="37"/>
      <c r="I70" s="37"/>
      <c r="J70" s="37"/>
      <c r="K70" s="37"/>
      <c r="L70" s="100" t="s">
        <v>271</v>
      </c>
      <c r="M70" s="118">
        <v>3204072195</v>
      </c>
    </row>
    <row r="71" spans="1:13" ht="12.75">
      <c r="A71" s="39" t="s">
        <v>191</v>
      </c>
      <c r="B71" s="35" t="s">
        <v>186</v>
      </c>
      <c r="C71" s="36" t="s">
        <v>187</v>
      </c>
      <c r="D71" s="233">
        <v>0.332</v>
      </c>
      <c r="E71" s="244">
        <f t="shared" si="3"/>
        <v>9.747901609195402</v>
      </c>
      <c r="F71" s="37"/>
      <c r="G71" s="37"/>
      <c r="H71" s="37"/>
      <c r="I71" s="37">
        <f>E71*40*10%/168*80</f>
        <v>18.56743163656267</v>
      </c>
      <c r="J71" s="37"/>
      <c r="K71" s="37"/>
      <c r="L71" s="100" t="s">
        <v>271</v>
      </c>
      <c r="M71" s="118">
        <v>3204079960</v>
      </c>
    </row>
    <row r="72" spans="1:13" ht="12.75">
      <c r="A72" s="39" t="s">
        <v>194</v>
      </c>
      <c r="B72" s="35" t="s">
        <v>189</v>
      </c>
      <c r="C72" s="36" t="s">
        <v>190</v>
      </c>
      <c r="D72" s="233">
        <v>0.701</v>
      </c>
      <c r="E72" s="244">
        <f t="shared" si="3"/>
        <v>20.582165747126435</v>
      </c>
      <c r="F72" s="37"/>
      <c r="G72" s="37"/>
      <c r="H72" s="37"/>
      <c r="I72" s="37">
        <f>E72*80*10%/168*80</f>
        <v>78.40825046524357</v>
      </c>
      <c r="J72" s="37"/>
      <c r="K72" s="37">
        <v>250</v>
      </c>
      <c r="L72" s="100" t="s">
        <v>271</v>
      </c>
      <c r="M72" s="118">
        <v>3203970986</v>
      </c>
    </row>
    <row r="73" spans="1:13" ht="12.75">
      <c r="A73" s="39" t="s">
        <v>197</v>
      </c>
      <c r="B73" s="35" t="s">
        <v>192</v>
      </c>
      <c r="C73" s="36" t="s">
        <v>193</v>
      </c>
      <c r="D73" s="233">
        <v>0.67</v>
      </c>
      <c r="E73" s="244">
        <f t="shared" si="3"/>
        <v>19.671970114942532</v>
      </c>
      <c r="F73" s="37"/>
      <c r="G73" s="37"/>
      <c r="H73" s="37"/>
      <c r="I73" s="37">
        <f>E73*80*10%/168*80</f>
        <v>74.9408385331144</v>
      </c>
      <c r="J73" s="37"/>
      <c r="K73" s="37">
        <v>250</v>
      </c>
      <c r="L73" s="100" t="s">
        <v>271</v>
      </c>
      <c r="M73" s="118">
        <v>3204067208</v>
      </c>
    </row>
    <row r="74" spans="1:13" ht="12.75">
      <c r="A74" s="39" t="s">
        <v>200</v>
      </c>
      <c r="B74" s="35" t="s">
        <v>195</v>
      </c>
      <c r="C74" s="36" t="s">
        <v>196</v>
      </c>
      <c r="D74" s="233">
        <v>0.657</v>
      </c>
      <c r="E74" s="244">
        <f t="shared" si="3"/>
        <v>19.290275172413793</v>
      </c>
      <c r="F74" s="37"/>
      <c r="G74" s="37"/>
      <c r="H74" s="37"/>
      <c r="I74" s="37">
        <f>E74*80*10%/168*80</f>
        <v>73.48676256157637</v>
      </c>
      <c r="J74" s="37"/>
      <c r="K74" s="37">
        <v>250</v>
      </c>
      <c r="L74" s="100" t="s">
        <v>271</v>
      </c>
      <c r="M74" s="118">
        <v>3204142989</v>
      </c>
    </row>
    <row r="75" spans="1:13" ht="12.75">
      <c r="A75" s="39" t="s">
        <v>203</v>
      </c>
      <c r="B75" s="35" t="s">
        <v>198</v>
      </c>
      <c r="C75" s="36" t="s">
        <v>199</v>
      </c>
      <c r="D75" s="233">
        <v>0.67</v>
      </c>
      <c r="E75" s="244">
        <f t="shared" si="3"/>
        <v>19.671970114942532</v>
      </c>
      <c r="F75" s="37"/>
      <c r="G75" s="37"/>
      <c r="H75" s="37"/>
      <c r="I75" s="37"/>
      <c r="J75" s="37"/>
      <c r="K75" s="37">
        <v>600</v>
      </c>
      <c r="L75" s="100" t="s">
        <v>271</v>
      </c>
      <c r="M75" s="118">
        <v>3209666848</v>
      </c>
    </row>
    <row r="76" spans="1:13" ht="12.75">
      <c r="A76" s="39" t="s">
        <v>206</v>
      </c>
      <c r="B76" s="35" t="s">
        <v>201</v>
      </c>
      <c r="C76" s="36" t="s">
        <v>202</v>
      </c>
      <c r="D76" s="233">
        <v>0.159</v>
      </c>
      <c r="E76" s="244">
        <f t="shared" si="3"/>
        <v>4.6684227586206895</v>
      </c>
      <c r="F76" s="37"/>
      <c r="G76" s="37"/>
      <c r="H76" s="37"/>
      <c r="I76" s="37"/>
      <c r="J76" s="37"/>
      <c r="K76" s="37"/>
      <c r="L76" s="100" t="s">
        <v>271</v>
      </c>
      <c r="M76" s="118">
        <v>3212211696</v>
      </c>
    </row>
    <row r="77" spans="1:13" ht="12.75">
      <c r="A77" s="39" t="s">
        <v>209</v>
      </c>
      <c r="B77" s="35" t="s">
        <v>204</v>
      </c>
      <c r="C77" s="36" t="s">
        <v>205</v>
      </c>
      <c r="D77" s="233">
        <v>0.88</v>
      </c>
      <c r="E77" s="244">
        <f t="shared" si="3"/>
        <v>25.837811494252872</v>
      </c>
      <c r="F77" s="37"/>
      <c r="G77" s="37"/>
      <c r="H77" s="37"/>
      <c r="I77" s="37">
        <f>E77*80*10%/168*80</f>
        <v>98.42975807334429</v>
      </c>
      <c r="J77" s="37"/>
      <c r="K77" s="37">
        <v>850</v>
      </c>
      <c r="L77" s="100" t="s">
        <v>271</v>
      </c>
      <c r="M77" s="118">
        <v>3204034361</v>
      </c>
    </row>
    <row r="78" spans="1:13" ht="12.75">
      <c r="A78" s="39" t="s">
        <v>212</v>
      </c>
      <c r="B78" s="35" t="s">
        <v>207</v>
      </c>
      <c r="C78" s="36" t="s">
        <v>208</v>
      </c>
      <c r="D78" s="233">
        <v>0.688</v>
      </c>
      <c r="E78" s="244">
        <f t="shared" si="3"/>
        <v>20.2004708045977</v>
      </c>
      <c r="F78" s="37"/>
      <c r="G78" s="37"/>
      <c r="H78" s="37"/>
      <c r="I78" s="37">
        <f>E78*80*10%/168*80</f>
        <v>76.95417449370552</v>
      </c>
      <c r="J78" s="37"/>
      <c r="K78" s="37">
        <v>250</v>
      </c>
      <c r="L78" s="277" t="s">
        <v>278</v>
      </c>
      <c r="M78" s="118">
        <v>3203218021</v>
      </c>
    </row>
    <row r="79" spans="1:13" ht="12.75">
      <c r="A79" s="39" t="s">
        <v>215</v>
      </c>
      <c r="B79" s="35" t="s">
        <v>224</v>
      </c>
      <c r="C79" s="36" t="s">
        <v>225</v>
      </c>
      <c r="D79" s="233">
        <v>2.352</v>
      </c>
      <c r="E79" s="244">
        <f t="shared" si="3"/>
        <v>69.05742344827586</v>
      </c>
      <c r="F79" s="37"/>
      <c r="G79" s="37"/>
      <c r="H79" s="37"/>
      <c r="I79" s="37"/>
      <c r="J79" s="37"/>
      <c r="K79" s="37">
        <v>810</v>
      </c>
      <c r="L79" s="100" t="s">
        <v>271</v>
      </c>
      <c r="M79" s="118">
        <v>3204010433</v>
      </c>
    </row>
    <row r="80" spans="1:13" ht="12.75">
      <c r="A80" s="39" t="s">
        <v>218</v>
      </c>
      <c r="B80" s="35" t="s">
        <v>227</v>
      </c>
      <c r="C80" s="36" t="s">
        <v>228</v>
      </c>
      <c r="D80" s="233">
        <v>1.466</v>
      </c>
      <c r="E80" s="244">
        <f t="shared" si="3"/>
        <v>43.04344505747127</v>
      </c>
      <c r="F80" s="37"/>
      <c r="G80" s="37"/>
      <c r="H80" s="37"/>
      <c r="I80" s="37"/>
      <c r="J80" s="37"/>
      <c r="K80" s="37">
        <v>250</v>
      </c>
      <c r="L80" s="100" t="s">
        <v>271</v>
      </c>
      <c r="M80" s="118">
        <v>3204010191</v>
      </c>
    </row>
    <row r="81" spans="1:13" ht="12.75">
      <c r="A81" s="39" t="s">
        <v>219</v>
      </c>
      <c r="B81" s="35" t="s">
        <v>230</v>
      </c>
      <c r="C81" s="36" t="s">
        <v>231</v>
      </c>
      <c r="D81" s="233">
        <v>1.277</v>
      </c>
      <c r="E81" s="244">
        <f t="shared" si="3"/>
        <v>37.49418781609195</v>
      </c>
      <c r="F81" s="37"/>
      <c r="G81" s="37"/>
      <c r="H81" s="37"/>
      <c r="I81" s="37"/>
      <c r="J81" s="37"/>
      <c r="K81" s="37">
        <v>250</v>
      </c>
      <c r="L81" s="100" t="s">
        <v>271</v>
      </c>
      <c r="M81" s="118">
        <v>3203942467</v>
      </c>
    </row>
    <row r="82" spans="1:13" ht="12.75">
      <c r="A82" s="39" t="s">
        <v>220</v>
      </c>
      <c r="B82" s="35" t="s">
        <v>289</v>
      </c>
      <c r="C82" s="36" t="s">
        <v>388</v>
      </c>
      <c r="D82" s="233">
        <v>0.863</v>
      </c>
      <c r="E82" s="244">
        <f t="shared" si="3"/>
        <v>25.338671954022992</v>
      </c>
      <c r="F82" s="37"/>
      <c r="G82" s="37"/>
      <c r="H82" s="37"/>
      <c r="I82" s="37"/>
      <c r="J82" s="37"/>
      <c r="K82" s="37"/>
      <c r="L82" s="100" t="s">
        <v>277</v>
      </c>
      <c r="M82" s="118">
        <v>3206949158</v>
      </c>
    </row>
    <row r="83" spans="1:13" ht="12.75">
      <c r="A83" s="39" t="s">
        <v>223</v>
      </c>
      <c r="B83" s="35" t="s">
        <v>234</v>
      </c>
      <c r="C83" s="36" t="s">
        <v>235</v>
      </c>
      <c r="D83" s="233">
        <v>1.05</v>
      </c>
      <c r="E83" s="244">
        <f t="shared" si="3"/>
        <v>30.829206896551725</v>
      </c>
      <c r="F83" s="37"/>
      <c r="G83" s="37"/>
      <c r="H83" s="37"/>
      <c r="I83" s="37"/>
      <c r="J83" s="37"/>
      <c r="K83" s="37"/>
      <c r="L83" s="100" t="s">
        <v>271</v>
      </c>
      <c r="M83" s="118">
        <v>3204010505</v>
      </c>
    </row>
    <row r="84" spans="1:13" ht="12.75">
      <c r="A84" s="39" t="s">
        <v>226</v>
      </c>
      <c r="B84" s="35" t="s">
        <v>236</v>
      </c>
      <c r="C84" s="36" t="s">
        <v>237</v>
      </c>
      <c r="D84" s="233">
        <v>0.33</v>
      </c>
      <c r="E84" s="244">
        <f t="shared" si="3"/>
        <v>9.689179310344828</v>
      </c>
      <c r="F84" s="37"/>
      <c r="G84" s="37"/>
      <c r="H84" s="37"/>
      <c r="I84" s="37">
        <f>E84*40*10%/168*80</f>
        <v>18.455579638752052</v>
      </c>
      <c r="J84" s="37"/>
      <c r="K84" s="37"/>
      <c r="L84" s="100" t="s">
        <v>271</v>
      </c>
      <c r="M84" s="118">
        <v>3204169869</v>
      </c>
    </row>
    <row r="85" spans="1:13" ht="12.75">
      <c r="A85" s="39" t="s">
        <v>229</v>
      </c>
      <c r="B85" s="35" t="s">
        <v>242</v>
      </c>
      <c r="C85" s="36" t="s">
        <v>243</v>
      </c>
      <c r="D85" s="233">
        <v>0.316</v>
      </c>
      <c r="E85" s="244">
        <f t="shared" si="3"/>
        <v>9.278123218390805</v>
      </c>
      <c r="F85" s="37"/>
      <c r="G85" s="37"/>
      <c r="H85" s="37"/>
      <c r="I85" s="37">
        <f>E85*40*10%/168*80</f>
        <v>17.672615654077724</v>
      </c>
      <c r="J85" s="37"/>
      <c r="K85" s="37">
        <v>600</v>
      </c>
      <c r="L85" s="277" t="s">
        <v>279</v>
      </c>
      <c r="M85" s="118">
        <v>3200516734</v>
      </c>
    </row>
    <row r="86" spans="1:14" s="203" customFormat="1" ht="12.75">
      <c r="A86" s="39" t="s">
        <v>297</v>
      </c>
      <c r="B86" s="273" t="s">
        <v>390</v>
      </c>
      <c r="C86" s="274" t="s">
        <v>391</v>
      </c>
      <c r="D86" s="275">
        <v>0.795</v>
      </c>
      <c r="E86" s="271">
        <f t="shared" si="3"/>
        <v>23.34211379310345</v>
      </c>
      <c r="F86" s="198">
        <f>45.75/168*80</f>
        <v>21.785714285714285</v>
      </c>
      <c r="G86" s="198"/>
      <c r="H86" s="198"/>
      <c r="I86" s="198">
        <f>(E86*80*10%)/168*80</f>
        <v>88.92233825944172</v>
      </c>
      <c r="J86" s="198"/>
      <c r="K86" s="198">
        <v>830</v>
      </c>
      <c r="L86" s="272" t="s">
        <v>271</v>
      </c>
      <c r="M86" s="276"/>
      <c r="N86" s="202"/>
    </row>
    <row r="87" spans="1:14" s="203" customFormat="1" ht="12.75">
      <c r="A87" s="39" t="s">
        <v>300</v>
      </c>
      <c r="B87" s="273" t="s">
        <v>403</v>
      </c>
      <c r="C87" s="274" t="s">
        <v>394</v>
      </c>
      <c r="D87" s="275">
        <v>1.25</v>
      </c>
      <c r="E87" s="271">
        <f t="shared" si="3"/>
        <v>36.701436781609196</v>
      </c>
      <c r="F87" s="198"/>
      <c r="G87" s="198"/>
      <c r="H87" s="198"/>
      <c r="I87" s="198"/>
      <c r="J87" s="198"/>
      <c r="K87" s="198">
        <v>250</v>
      </c>
      <c r="L87" s="272" t="s">
        <v>271</v>
      </c>
      <c r="M87" s="276"/>
      <c r="N87" s="202"/>
    </row>
    <row r="88" spans="1:14" s="203" customFormat="1" ht="12.75">
      <c r="A88" s="39"/>
      <c r="B88" s="273"/>
      <c r="C88" s="274"/>
      <c r="D88" s="275"/>
      <c r="E88" s="271"/>
      <c r="F88" s="198"/>
      <c r="G88" s="198"/>
      <c r="H88" s="198"/>
      <c r="I88" s="198"/>
      <c r="J88" s="198"/>
      <c r="K88" s="198"/>
      <c r="L88" s="272"/>
      <c r="M88" s="276"/>
      <c r="N88" s="202"/>
    </row>
    <row r="89" spans="1:14" s="289" customFormat="1" ht="15.75">
      <c r="A89" s="280"/>
      <c r="B89" s="281" t="s">
        <v>238</v>
      </c>
      <c r="C89" s="282"/>
      <c r="D89" s="283"/>
      <c r="E89" s="284"/>
      <c r="F89" s="285">
        <f>SUM(F5:F86)</f>
        <v>4439.985714285715</v>
      </c>
      <c r="G89" s="285">
        <f>SUM(G5:G86)</f>
        <v>1615.618219376026</v>
      </c>
      <c r="H89" s="285">
        <f>SUM(H5:H86)</f>
        <v>2587.52</v>
      </c>
      <c r="I89" s="285">
        <f>SUM(I5:I87)</f>
        <v>9485.913471023536</v>
      </c>
      <c r="J89" s="285">
        <f>SUM(J5:J86)</f>
        <v>1986.4736933333336</v>
      </c>
      <c r="K89" s="285">
        <f>SUM(K5:K87)</f>
        <v>32098</v>
      </c>
      <c r="L89" s="286"/>
      <c r="M89" s="287"/>
      <c r="N89" s="288"/>
    </row>
  </sheetData>
  <sheetProtection/>
  <printOptions/>
  <pageMargins left="0.7086614173228347" right="0.7086614173228347" top="0.23" bottom="0.31" header="0.24" footer="0.31"/>
  <pageSetup horizontalDpi="600" verticalDpi="600" orientation="landscape" paperSize="9" scale="90" r:id="rId1"/>
  <headerFooter alignWithMargins="0">
    <oddFooter>&amp;CStranica &amp;P</oddFooter>
  </headerFooter>
  <ignoredErrors>
    <ignoredError sqref="I43 I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Dario</dc:creator>
  <cp:keywords/>
  <dc:description/>
  <cp:lastModifiedBy>OŠ Vladimir Nazor</cp:lastModifiedBy>
  <cp:lastPrinted>2014-11-25T10:42:33Z</cp:lastPrinted>
  <dcterms:created xsi:type="dcterms:W3CDTF">2011-02-04T07:11:40Z</dcterms:created>
  <dcterms:modified xsi:type="dcterms:W3CDTF">2015-01-27T11:36:32Z</dcterms:modified>
  <cp:category/>
  <cp:version/>
  <cp:contentType/>
  <cp:contentStatus/>
</cp:coreProperties>
</file>